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trlProps/ctrlProp29.xml" ContentType="application/vnd.ms-excel.controlproperties+xml"/>
  <Override PartName="/xl/ctrlProps/ctrlProp38.xml" ContentType="application/vnd.ms-excel.controlproperties+xml"/>
  <Override PartName="/xl/charts/chart2.xml" ContentType="application/vnd.openxmlformats-officedocument.drawingml.chart+xml"/>
  <Override PartName="/xl/vbaProject.bin" ContentType="application/vnd.ms-office.vbaProject"/>
  <Override PartName="/xl/ctrlProps/ctrlProp18.xml" ContentType="application/vnd.ms-excel.controlproperties+xml"/>
  <Override PartName="/xl/ctrlProps/ctrlProp27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34.xml" ContentType="application/vnd.ms-excel.controlproperties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trlProps/ctrlProp14.xml" ContentType="application/vnd.ms-excel.controlproperties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32.xml" ContentType="application/vnd.ms-excel.controlproperties+xml"/>
  <Override PartName="/xl/ctrlProps/ctrlProp41.xml" ContentType="application/vnd.ms-excel.controlpropertie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trlProps/ctrlProp12.xml" ContentType="application/vnd.ms-excel.controlproperties+xml"/>
  <Override PartName="/xl/ctrlProps/ctrlProp21.xml" ContentType="application/vnd.ms-excel.controlproperties+xml"/>
  <Override PartName="/xl/ctrlProps/ctrlProp30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trlProps/ctrlProp19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harts/chart3.xml" ContentType="application/vnd.openxmlformats-officedocument.drawingml.chart+xml"/>
  <Override PartName="/xl/ctrlProps/ctrlProp17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trlProps/ctrlProp11.xml" ContentType="application/vnd.ms-excel.controlproperties+xml"/>
  <Override PartName="/xl/ctrlProps/ctrlProp20.xml" ContentType="application/vnd.ms-excel.controlproperties+xml"/>
  <Override PartName="/xl/ctrlProps/ctrlProp40.xml" ContentType="application/vnd.ms-excel.controlproperties+xml"/>
  <Override PartName="/xl/ctrlProps/ctrlProp31.xml" ContentType="application/vnd.ms-excel.controlproperties+xml"/>
  <Override PartName="/xl/ctrlProps/ctrlProp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 codeName="{B7FE6334-C1A2-E50D-BD3D-5F4D41BBC2E3}"/>
  <workbookPr codeName="ThisWorkbook"/>
  <bookViews>
    <workbookView xWindow="120" yWindow="75" windowWidth="15180" windowHeight="9345" tabRatio="508"/>
  </bookViews>
  <sheets>
    <sheet name="Simple Setup" sheetId="1" r:id="rId1"/>
    <sheet name="Offset &amp; Differential" sheetId="2" r:id="rId2"/>
    <sheet name="ServoPlus" sheetId="42525" r:id="rId3"/>
    <sheet name="PropStuff" sheetId="42527" r:id="rId4"/>
    <sheet name="RCCD_All_Star" sheetId="42528" r:id="rId5"/>
  </sheets>
  <definedNames>
    <definedName name="solver_adj" localSheetId="1" hidden="1">'Offset &amp; Differential'!$H$7</definedName>
    <definedName name="solver_cvg" localSheetId="1" hidden="1">0.001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'Offset &amp; Differential'!#REF!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'Offset &amp; Differential'!$H$15</definedName>
    <definedName name="solver_pre" localSheetId="1" hidden="1">0.000001</definedName>
    <definedName name="solver_rel1" localSheetId="1" hidden="1">1</definedName>
    <definedName name="solver_rhs1" localSheetId="1" hidden="1">'Offset &amp; Differential'!#REF!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25725" iterate="1"/>
</workbook>
</file>

<file path=xl/calcChain.xml><?xml version="1.0" encoding="utf-8"?>
<calcChain xmlns="http://schemas.openxmlformats.org/spreadsheetml/2006/main">
  <c r="M6" i="1"/>
  <c r="M5"/>
  <c r="L6"/>
  <c r="L5"/>
  <c r="K6"/>
  <c r="K5"/>
  <c r="Z3" i="2" l="1"/>
  <c r="AL3"/>
  <c r="AK3" s="1"/>
  <c r="Q6"/>
  <c r="AW6" s="1"/>
  <c r="AC6"/>
  <c r="AY6"/>
  <c r="AC7"/>
  <c r="AD7"/>
  <c r="AZ7" s="1"/>
  <c r="AO7"/>
  <c r="AY7"/>
  <c r="H8"/>
  <c r="AC8"/>
  <c r="AT10"/>
  <c r="AP12"/>
  <c r="AP26" s="1"/>
  <c r="AR12"/>
  <c r="AS12"/>
  <c r="AT12"/>
  <c r="AO13"/>
  <c r="AP13"/>
  <c r="AQ13"/>
  <c r="AR13"/>
  <c r="AS13"/>
  <c r="AT13"/>
  <c r="Q14"/>
  <c r="AC14"/>
  <c r="AO14"/>
  <c r="AP14"/>
  <c r="AQ14"/>
  <c r="AR14"/>
  <c r="AS14"/>
  <c r="AT14"/>
  <c r="AW14"/>
  <c r="AY14"/>
  <c r="Q15"/>
  <c r="AC15"/>
  <c r="AY15"/>
  <c r="H16"/>
  <c r="I16"/>
  <c r="AP11" s="1"/>
  <c r="J16"/>
  <c r="AC16"/>
  <c r="AY16"/>
  <c r="H17"/>
  <c r="AD6" s="1"/>
  <c r="AZ6" s="1"/>
  <c r="J17"/>
  <c r="AC17"/>
  <c r="AY17" s="1"/>
  <c r="H18"/>
  <c r="AO18"/>
  <c r="AQ18"/>
  <c r="AR18"/>
  <c r="AS18"/>
  <c r="AT18"/>
  <c r="AP19"/>
  <c r="AR19"/>
  <c r="AT19"/>
  <c r="AO20"/>
  <c r="AP20"/>
  <c r="AQ20"/>
  <c r="AR20"/>
  <c r="AS20"/>
  <c r="AT20"/>
  <c r="AO21"/>
  <c r="AP21"/>
  <c r="AQ21"/>
  <c r="AR21"/>
  <c r="AS21"/>
  <c r="AT21"/>
  <c r="Q22"/>
  <c r="R22"/>
  <c r="AX22" s="1"/>
  <c r="AC22"/>
  <c r="AY22" s="1"/>
  <c r="AD22"/>
  <c r="AL22"/>
  <c r="AW22"/>
  <c r="AZ22"/>
  <c r="Q23"/>
  <c r="R23"/>
  <c r="AC23"/>
  <c r="AY23" s="1"/>
  <c r="Q24"/>
  <c r="AC24"/>
  <c r="AC25" s="1"/>
  <c r="AO25"/>
  <c r="AP25"/>
  <c r="AQ25"/>
  <c r="AR25"/>
  <c r="AT25"/>
  <c r="AR26"/>
  <c r="AT26"/>
  <c r="AO27"/>
  <c r="AP27"/>
  <c r="AQ27"/>
  <c r="AR27"/>
  <c r="AS27"/>
  <c r="AT27"/>
  <c r="AO28"/>
  <c r="AP28"/>
  <c r="AQ28"/>
  <c r="AR28"/>
  <c r="AS28"/>
  <c r="AT28"/>
  <c r="E5" i="42527"/>
  <c r="I5"/>
  <c r="F5" s="1"/>
  <c r="E6"/>
  <c r="F6"/>
  <c r="E7"/>
  <c r="F7"/>
  <c r="E8"/>
  <c r="F8"/>
  <c r="E9"/>
  <c r="F9"/>
  <c r="C4" i="42525"/>
  <c r="Q7" s="1"/>
  <c r="AU4"/>
  <c r="AY4"/>
  <c r="C5"/>
  <c r="C6"/>
  <c r="AI6"/>
  <c r="AJ6"/>
  <c r="AI7"/>
  <c r="AJ7"/>
  <c r="AI8"/>
  <c r="AJ8"/>
  <c r="AS8"/>
  <c r="AU8"/>
  <c r="AW8"/>
  <c r="AY8"/>
  <c r="AI9"/>
  <c r="AJ9"/>
  <c r="AR9"/>
  <c r="AS9"/>
  <c r="AT9"/>
  <c r="AU9"/>
  <c r="AV9"/>
  <c r="AW9"/>
  <c r="AX9"/>
  <c r="AY9"/>
  <c r="AI10"/>
  <c r="AJ10"/>
  <c r="K11"/>
  <c r="AI11"/>
  <c r="AJ11"/>
  <c r="N12"/>
  <c r="AI12"/>
  <c r="AJ12"/>
  <c r="C13"/>
  <c r="N13"/>
  <c r="AI13"/>
  <c r="AJ13"/>
  <c r="C14"/>
  <c r="N18" s="1"/>
  <c r="K14"/>
  <c r="AI14"/>
  <c r="AJ14"/>
  <c r="N15"/>
  <c r="AI15"/>
  <c r="AJ15"/>
  <c r="Q16"/>
  <c r="AI16"/>
  <c r="AJ16"/>
  <c r="AI17"/>
  <c r="AJ17"/>
  <c r="AI18"/>
  <c r="AJ18"/>
  <c r="AI19"/>
  <c r="AJ19"/>
  <c r="C20"/>
  <c r="S5" s="1"/>
  <c r="N20"/>
  <c r="AI20"/>
  <c r="AJ20"/>
  <c r="AI21"/>
  <c r="AJ21"/>
  <c r="N22"/>
  <c r="AI22"/>
  <c r="AJ22"/>
  <c r="AI23"/>
  <c r="AJ23"/>
  <c r="AI24"/>
  <c r="AJ24"/>
  <c r="AI25"/>
  <c r="AJ25"/>
  <c r="AI26"/>
  <c r="AJ26"/>
  <c r="Y3" i="1"/>
  <c r="X3" s="1"/>
  <c r="W3" s="1"/>
  <c r="P6"/>
  <c r="Q6"/>
  <c r="P7"/>
  <c r="P13"/>
  <c r="P20"/>
  <c r="Y6" l="1"/>
  <c r="V3"/>
  <c r="Q7"/>
  <c r="W7" s="1"/>
  <c r="P8"/>
  <c r="W6"/>
  <c r="Q20"/>
  <c r="Y20" s="1"/>
  <c r="P21"/>
  <c r="AJ5" i="42525"/>
  <c r="AI5"/>
  <c r="AX23" i="2"/>
  <c r="Q13" i="1"/>
  <c r="P14"/>
  <c r="X6"/>
  <c r="N11" i="42525"/>
  <c r="Q6" s="1"/>
  <c r="N14"/>
  <c r="N16"/>
  <c r="N17"/>
  <c r="AU7" s="1"/>
  <c r="N23"/>
  <c r="AY25" i="2"/>
  <c r="AC26"/>
  <c r="AR7"/>
  <c r="AO23"/>
  <c r="AO24" s="1"/>
  <c r="AO16"/>
  <c r="AO17" s="1"/>
  <c r="AK7"/>
  <c r="AK8"/>
  <c r="AK6"/>
  <c r="AJ3"/>
  <c r="AK9"/>
  <c r="AK22"/>
  <c r="AS4" i="42525"/>
  <c r="AW4"/>
  <c r="AW24" i="2"/>
  <c r="R24"/>
  <c r="AX24" s="1"/>
  <c r="Q25"/>
  <c r="Z23"/>
  <c r="AW23"/>
  <c r="AY24"/>
  <c r="AS19"/>
  <c r="AR9"/>
  <c r="Z22"/>
  <c r="I17"/>
  <c r="AP18"/>
  <c r="AS10"/>
  <c r="AS11"/>
  <c r="AP7"/>
  <c r="AP9"/>
  <c r="AP10"/>
  <c r="I18"/>
  <c r="AS25"/>
  <c r="AS26"/>
  <c r="AW15"/>
  <c r="Q16"/>
  <c r="AD25"/>
  <c r="AZ25" s="1"/>
  <c r="AD24"/>
  <c r="AZ24" s="1"/>
  <c r="AD23"/>
  <c r="AK23" s="1"/>
  <c r="AC18"/>
  <c r="AQ7"/>
  <c r="J18"/>
  <c r="AQ9"/>
  <c r="AQ10"/>
  <c r="AQ11"/>
  <c r="AQ12"/>
  <c r="AQ16"/>
  <c r="AQ17" s="1"/>
  <c r="AT11"/>
  <c r="AC9"/>
  <c r="AY8"/>
  <c r="AD8"/>
  <c r="AL6"/>
  <c r="R6"/>
  <c r="AX6" s="1"/>
  <c r="AO12"/>
  <c r="AO11"/>
  <c r="AO10"/>
  <c r="AO9"/>
  <c r="AD9"/>
  <c r="AZ9" s="1"/>
  <c r="AL7"/>
  <c r="Y3"/>
  <c r="AR11"/>
  <c r="AR10"/>
  <c r="Q7"/>
  <c r="Y7" i="1" l="1"/>
  <c r="X7"/>
  <c r="AW7" i="2"/>
  <c r="Q8"/>
  <c r="AL18"/>
  <c r="AC19"/>
  <c r="AY18"/>
  <c r="AW16"/>
  <c r="Q17"/>
  <c r="Q21" i="1"/>
  <c r="Y21" s="1"/>
  <c r="P22"/>
  <c r="AV7" i="42525"/>
  <c r="AO26" i="2"/>
  <c r="AO19"/>
  <c r="AS7"/>
  <c r="AP16"/>
  <c r="AP17" s="1"/>
  <c r="AP23"/>
  <c r="AP24" s="1"/>
  <c r="AZ8"/>
  <c r="AL8"/>
  <c r="AQ19"/>
  <c r="AQ26"/>
  <c r="R14"/>
  <c r="AD15"/>
  <c r="R16"/>
  <c r="AX16" s="1"/>
  <c r="AL16"/>
  <c r="AD17"/>
  <c r="AD14"/>
  <c r="R15"/>
  <c r="AX15" s="1"/>
  <c r="AD18"/>
  <c r="AD16"/>
  <c r="AK15"/>
  <c r="AD19"/>
  <c r="R17"/>
  <c r="AX17" s="1"/>
  <c r="AL17"/>
  <c r="Z24"/>
  <c r="AK25"/>
  <c r="AK18"/>
  <c r="AJ8"/>
  <c r="AJ18"/>
  <c r="AJ6"/>
  <c r="AI3"/>
  <c r="AJ7"/>
  <c r="AJ16"/>
  <c r="AJ17"/>
  <c r="AJ9"/>
  <c r="AJ15"/>
  <c r="AJ22"/>
  <c r="AJ23"/>
  <c r="AJ26"/>
  <c r="AJ14"/>
  <c r="AJ25"/>
  <c r="AJ19"/>
  <c r="AJ24"/>
  <c r="AL25"/>
  <c r="P15" i="1"/>
  <c r="Y14"/>
  <c r="Q14"/>
  <c r="X14"/>
  <c r="AR7" i="42525"/>
  <c r="W20" i="1"/>
  <c r="AR16" i="2"/>
  <c r="AR17" s="1"/>
  <c r="AR23"/>
  <c r="AR24" s="1"/>
  <c r="AW7" i="42525"/>
  <c r="AZ23" i="2"/>
  <c r="AL23"/>
  <c r="AD26"/>
  <c r="AZ26" s="1"/>
  <c r="AY26"/>
  <c r="AL26"/>
  <c r="AC27"/>
  <c r="AK26"/>
  <c r="Q8" i="1"/>
  <c r="W8" s="1"/>
  <c r="P9"/>
  <c r="Y8"/>
  <c r="X8"/>
  <c r="AS7" i="42525"/>
  <c r="U3" i="1"/>
  <c r="V8"/>
  <c r="V13"/>
  <c r="V21"/>
  <c r="V14"/>
  <c r="V6"/>
  <c r="V20"/>
  <c r="V7"/>
  <c r="AL9" i="2"/>
  <c r="X3"/>
  <c r="Y6"/>
  <c r="Y15"/>
  <c r="Y14"/>
  <c r="Y16"/>
  <c r="Y24"/>
  <c r="Y23"/>
  <c r="Y22"/>
  <c r="R7"/>
  <c r="AX7" s="1"/>
  <c r="Z6"/>
  <c r="AC10"/>
  <c r="AY9"/>
  <c r="AT7"/>
  <c r="AQ23"/>
  <c r="AQ24" s="1"/>
  <c r="AL24"/>
  <c r="R25"/>
  <c r="AX25" s="1"/>
  <c r="Q26"/>
  <c r="AW25"/>
  <c r="AK24"/>
  <c r="AK16"/>
  <c r="AS10" i="42525"/>
  <c r="AW10"/>
  <c r="AR8"/>
  <c r="AV8"/>
  <c r="AR10"/>
  <c r="AV10"/>
  <c r="AX8"/>
  <c r="AU10"/>
  <c r="AT8"/>
  <c r="AT10"/>
  <c r="AT4"/>
  <c r="AX4"/>
  <c r="AR4"/>
  <c r="AV4"/>
  <c r="X20" i="1"/>
  <c r="Y13"/>
  <c r="X13"/>
  <c r="W14"/>
  <c r="Q17" i="42525"/>
  <c r="AT7"/>
  <c r="W21" i="1"/>
  <c r="W13"/>
  <c r="Z26" i="2" l="1"/>
  <c r="AW26"/>
  <c r="R26"/>
  <c r="AX26" s="1"/>
  <c r="Q27"/>
  <c r="AD27"/>
  <c r="AZ27" s="1"/>
  <c r="AY27"/>
  <c r="AC28"/>
  <c r="P16" i="1"/>
  <c r="Q15"/>
  <c r="V15" s="1"/>
  <c r="X15"/>
  <c r="Z16" i="2"/>
  <c r="AW8"/>
  <c r="Q9"/>
  <c r="R8"/>
  <c r="AX8" s="1"/>
  <c r="Z8"/>
  <c r="AT16"/>
  <c r="AT17" s="1"/>
  <c r="AT9"/>
  <c r="AT23"/>
  <c r="AT24" s="1"/>
  <c r="Y8"/>
  <c r="U6" i="1"/>
  <c r="U14"/>
  <c r="U15"/>
  <c r="T3"/>
  <c r="U13"/>
  <c r="U20"/>
  <c r="U21"/>
  <c r="U7"/>
  <c r="U8"/>
  <c r="Q9"/>
  <c r="U9" s="1"/>
  <c r="P10"/>
  <c r="Z15" i="2"/>
  <c r="AZ14"/>
  <c r="AL14"/>
  <c r="AK14"/>
  <c r="AZ15"/>
  <c r="Q18" i="42525"/>
  <c r="Q19"/>
  <c r="AR6"/>
  <c r="AS6"/>
  <c r="Q13" s="1"/>
  <c r="Z25" i="2"/>
  <c r="Y7"/>
  <c r="X6"/>
  <c r="X15"/>
  <c r="X17"/>
  <c r="X14"/>
  <c r="W3"/>
  <c r="X8"/>
  <c r="X23"/>
  <c r="X24"/>
  <c r="X25"/>
  <c r="X26"/>
  <c r="X16"/>
  <c r="X22"/>
  <c r="X7"/>
  <c r="Z7"/>
  <c r="AZ16"/>
  <c r="AZ18"/>
  <c r="AZ17"/>
  <c r="AK17"/>
  <c r="AX14"/>
  <c r="Z14"/>
  <c r="AS16"/>
  <c r="AS17" s="1"/>
  <c r="AS9"/>
  <c r="AS23"/>
  <c r="AS24" s="1"/>
  <c r="X21" i="1"/>
  <c r="Q18" i="2"/>
  <c r="Z17"/>
  <c r="AW17"/>
  <c r="AL19"/>
  <c r="AY19"/>
  <c r="AC20"/>
  <c r="AK19"/>
  <c r="Q22" i="1"/>
  <c r="V22" s="1"/>
  <c r="P23"/>
  <c r="Y22"/>
  <c r="W22"/>
  <c r="Q14" i="42525"/>
  <c r="Y25" i="2"/>
  <c r="AC11"/>
  <c r="AY10"/>
  <c r="AD10"/>
  <c r="AZ10" s="1"/>
  <c r="AL10"/>
  <c r="Y26"/>
  <c r="Y17"/>
  <c r="AJ10"/>
  <c r="AI6"/>
  <c r="AI15"/>
  <c r="AI17"/>
  <c r="AH3"/>
  <c r="AI9"/>
  <c r="AI14"/>
  <c r="AI8"/>
  <c r="AI16"/>
  <c r="AI18"/>
  <c r="AI23"/>
  <c r="AI24"/>
  <c r="AI25"/>
  <c r="AI26"/>
  <c r="AI22"/>
  <c r="AI7"/>
  <c r="AI19"/>
  <c r="AZ19"/>
  <c r="AL15"/>
  <c r="W9" i="1" l="1"/>
  <c r="V9"/>
  <c r="Y9"/>
  <c r="AI28" i="2"/>
  <c r="W14"/>
  <c r="W16"/>
  <c r="W7"/>
  <c r="V3"/>
  <c r="W6"/>
  <c r="W15"/>
  <c r="W8"/>
  <c r="W22"/>
  <c r="W17"/>
  <c r="W25"/>
  <c r="W23"/>
  <c r="W24"/>
  <c r="W26"/>
  <c r="P11" i="1"/>
  <c r="Q10"/>
  <c r="Y10" s="1"/>
  <c r="W10"/>
  <c r="AK27" i="2"/>
  <c r="R27"/>
  <c r="AX27" s="1"/>
  <c r="AW27"/>
  <c r="Q28"/>
  <c r="AI27"/>
  <c r="AI10"/>
  <c r="AK10"/>
  <c r="X22" i="1"/>
  <c r="AW6" i="42525"/>
  <c r="AV6"/>
  <c r="Q10" s="1"/>
  <c r="X9" i="1"/>
  <c r="T7"/>
  <c r="T6"/>
  <c r="T10"/>
  <c r="T15"/>
  <c r="T20"/>
  <c r="T8"/>
  <c r="T9"/>
  <c r="T22"/>
  <c r="S3"/>
  <c r="T13"/>
  <c r="T14"/>
  <c r="T21"/>
  <c r="U22"/>
  <c r="U10"/>
  <c r="AW9" i="2"/>
  <c r="Q10"/>
  <c r="R9"/>
  <c r="W15" i="1"/>
  <c r="Y15"/>
  <c r="AG3" i="2"/>
  <c r="AH9"/>
  <c r="AH10"/>
  <c r="AH11"/>
  <c r="AH14"/>
  <c r="AH16"/>
  <c r="AH7"/>
  <c r="AH6"/>
  <c r="AH15"/>
  <c r="AH17"/>
  <c r="AH19"/>
  <c r="AH24"/>
  <c r="AH27"/>
  <c r="AH8"/>
  <c r="AH18"/>
  <c r="AH23"/>
  <c r="AH26"/>
  <c r="AH25"/>
  <c r="AH28"/>
  <c r="AH22"/>
  <c r="AC12"/>
  <c r="AY11"/>
  <c r="AK11"/>
  <c r="AL11"/>
  <c r="AD11"/>
  <c r="AZ11" s="1"/>
  <c r="AJ11"/>
  <c r="AU6" i="42525"/>
  <c r="AT6"/>
  <c r="AL28" i="2"/>
  <c r="AY28"/>
  <c r="AC29"/>
  <c r="AD28"/>
  <c r="AZ28" s="1"/>
  <c r="AK28"/>
  <c r="AJ28"/>
  <c r="AI11"/>
  <c r="P24" i="1"/>
  <c r="Q23"/>
  <c r="V23" s="1"/>
  <c r="X23"/>
  <c r="AY20" i="2"/>
  <c r="AC21"/>
  <c r="AD20"/>
  <c r="AZ20" s="1"/>
  <c r="AJ20"/>
  <c r="AW18"/>
  <c r="Q19"/>
  <c r="Z18"/>
  <c r="R18"/>
  <c r="AX18" s="1"/>
  <c r="Y18"/>
  <c r="X18"/>
  <c r="U23" i="1"/>
  <c r="AJ27" i="2"/>
  <c r="P17" i="1"/>
  <c r="Q16"/>
  <c r="V16" s="1"/>
  <c r="AL27" i="2"/>
  <c r="V10" i="1" l="1"/>
  <c r="X10"/>
  <c r="AX9" i="2"/>
  <c r="X9"/>
  <c r="Q17" i="1"/>
  <c r="V17" s="1"/>
  <c r="P18"/>
  <c r="X17"/>
  <c r="Y17"/>
  <c r="W17"/>
  <c r="U17"/>
  <c r="AW19" i="2"/>
  <c r="Q20"/>
  <c r="R19"/>
  <c r="AX19" s="1"/>
  <c r="AL20"/>
  <c r="T23" i="1"/>
  <c r="V7" i="2"/>
  <c r="U3"/>
  <c r="V8"/>
  <c r="V6"/>
  <c r="V9"/>
  <c r="V14"/>
  <c r="V16"/>
  <c r="V17"/>
  <c r="V15"/>
  <c r="V18"/>
  <c r="V22"/>
  <c r="V23"/>
  <c r="V26"/>
  <c r="V27"/>
  <c r="V25"/>
  <c r="V24"/>
  <c r="W9"/>
  <c r="U16" i="1"/>
  <c r="X16"/>
  <c r="Y16"/>
  <c r="W16"/>
  <c r="AY21" i="2"/>
  <c r="AD21"/>
  <c r="AZ21" s="1"/>
  <c r="AI21"/>
  <c r="W23" i="1"/>
  <c r="Y23"/>
  <c r="Q9" i="42525"/>
  <c r="AC13" i="2"/>
  <c r="AY12"/>
  <c r="AD12"/>
  <c r="Y9"/>
  <c r="T17" i="1"/>
  <c r="S8"/>
  <c r="S17"/>
  <c r="S21"/>
  <c r="S7"/>
  <c r="S16"/>
  <c r="S20"/>
  <c r="S13"/>
  <c r="S6"/>
  <c r="S15"/>
  <c r="S9"/>
  <c r="S10"/>
  <c r="S22"/>
  <c r="S23"/>
  <c r="S14"/>
  <c r="T16"/>
  <c r="X27" i="2"/>
  <c r="P12" i="1"/>
  <c r="Q11"/>
  <c r="T11" s="1"/>
  <c r="W27" i="2"/>
  <c r="AI20"/>
  <c r="AY29"/>
  <c r="AD29"/>
  <c r="AZ29" s="1"/>
  <c r="AL29"/>
  <c r="AG7"/>
  <c r="AG8"/>
  <c r="AG6"/>
  <c r="AF3"/>
  <c r="AG9"/>
  <c r="AG10"/>
  <c r="AG11"/>
  <c r="AG14"/>
  <c r="AG16"/>
  <c r="AG15"/>
  <c r="AG19"/>
  <c r="AG20"/>
  <c r="AG22"/>
  <c r="AG25"/>
  <c r="AG28"/>
  <c r="AG17"/>
  <c r="AG24"/>
  <c r="AG27"/>
  <c r="AG18"/>
  <c r="AG23"/>
  <c r="AG26"/>
  <c r="Z9"/>
  <c r="Y27"/>
  <c r="Z27"/>
  <c r="AK20"/>
  <c r="P25" i="1"/>
  <c r="Q24"/>
  <c r="T24" s="1"/>
  <c r="Y24"/>
  <c r="V24"/>
  <c r="U24"/>
  <c r="AH20" i="2"/>
  <c r="AW10"/>
  <c r="Q11"/>
  <c r="R10"/>
  <c r="V10" s="1"/>
  <c r="Z28"/>
  <c r="AW28"/>
  <c r="Q29"/>
  <c r="R28"/>
  <c r="AX28" s="1"/>
  <c r="Y28"/>
  <c r="W18"/>
  <c r="W11" i="1" l="1"/>
  <c r="AZ12" i="2"/>
  <c r="AH12"/>
  <c r="AY13"/>
  <c r="AD13"/>
  <c r="AJ13" s="1"/>
  <c r="Z19"/>
  <c r="W19"/>
  <c r="AG12"/>
  <c r="AF8"/>
  <c r="AF18"/>
  <c r="AF6"/>
  <c r="AF7"/>
  <c r="AF11"/>
  <c r="AF12"/>
  <c r="AF15"/>
  <c r="AF20"/>
  <c r="AF19"/>
  <c r="AF25"/>
  <c r="AF28"/>
  <c r="AF29"/>
  <c r="AF9"/>
  <c r="AF14"/>
  <c r="AF22"/>
  <c r="AF26"/>
  <c r="AF27"/>
  <c r="AF10"/>
  <c r="AF16"/>
  <c r="AF17"/>
  <c r="AF24"/>
  <c r="AF23"/>
  <c r="AF21"/>
  <c r="AI29"/>
  <c r="AH21"/>
  <c r="AK12"/>
  <c r="Q11" i="42525"/>
  <c r="Q12"/>
  <c r="V19" i="2"/>
  <c r="Y19"/>
  <c r="W28"/>
  <c r="Z29"/>
  <c r="J15" s="1"/>
  <c r="AW29"/>
  <c r="R29"/>
  <c r="AX29" s="1"/>
  <c r="Y29"/>
  <c r="X29"/>
  <c r="Y10"/>
  <c r="W24" i="1"/>
  <c r="Q25"/>
  <c r="S25" s="1"/>
  <c r="P26"/>
  <c r="AG29" i="2"/>
  <c r="AG21"/>
  <c r="AJ29"/>
  <c r="V11" i="1"/>
  <c r="Q12"/>
  <c r="Y12" s="1"/>
  <c r="V12"/>
  <c r="AI12" i="2"/>
  <c r="AL12"/>
  <c r="AJ21"/>
  <c r="V29"/>
  <c r="T3"/>
  <c r="U8"/>
  <c r="U18"/>
  <c r="U6"/>
  <c r="U7"/>
  <c r="U9"/>
  <c r="U10"/>
  <c r="U17"/>
  <c r="U14"/>
  <c r="U24"/>
  <c r="U27"/>
  <c r="U22"/>
  <c r="U23"/>
  <c r="U26"/>
  <c r="U28"/>
  <c r="U29"/>
  <c r="U11"/>
  <c r="U25"/>
  <c r="U15"/>
  <c r="U19"/>
  <c r="U16"/>
  <c r="Z20"/>
  <c r="AW20"/>
  <c r="Q21"/>
  <c r="R20"/>
  <c r="Y20"/>
  <c r="X20"/>
  <c r="W20"/>
  <c r="Q18" i="1"/>
  <c r="S18" s="1"/>
  <c r="P19"/>
  <c r="Y18"/>
  <c r="W18"/>
  <c r="X18"/>
  <c r="V18"/>
  <c r="U18"/>
  <c r="T18"/>
  <c r="AH29" i="2"/>
  <c r="AX10"/>
  <c r="W10"/>
  <c r="X10"/>
  <c r="AW11"/>
  <c r="Q12"/>
  <c r="R11"/>
  <c r="AX11" s="1"/>
  <c r="Z11"/>
  <c r="U11" i="1"/>
  <c r="AL21" i="2"/>
  <c r="X28"/>
  <c r="Z10"/>
  <c r="X24" i="1"/>
  <c r="AK29" i="2"/>
  <c r="X11" i="1"/>
  <c r="Y11"/>
  <c r="S11"/>
  <c r="S24"/>
  <c r="AJ12" i="2"/>
  <c r="AK21"/>
  <c r="V28"/>
  <c r="X19"/>
  <c r="S12" i="1" l="1"/>
  <c r="X12"/>
  <c r="T12"/>
  <c r="W12"/>
  <c r="U12"/>
  <c r="AW21" i="2"/>
  <c r="R21"/>
  <c r="AX21" s="1"/>
  <c r="AH13"/>
  <c r="AI13"/>
  <c r="AL13"/>
  <c r="X11"/>
  <c r="AW12"/>
  <c r="Q13"/>
  <c r="R12"/>
  <c r="AX12" s="1"/>
  <c r="Q19" i="1"/>
  <c r="Y19" s="1"/>
  <c r="L11" s="1"/>
  <c r="W19"/>
  <c r="X19"/>
  <c r="U19"/>
  <c r="T19"/>
  <c r="S19"/>
  <c r="K11"/>
  <c r="U25"/>
  <c r="Y25"/>
  <c r="W25"/>
  <c r="AZ13" i="2"/>
  <c r="AG13"/>
  <c r="W11"/>
  <c r="T25" i="1"/>
  <c r="X25"/>
  <c r="Q15" i="42525"/>
  <c r="Q21" s="1"/>
  <c r="Y11" i="2"/>
  <c r="AX20"/>
  <c r="V20"/>
  <c r="U20"/>
  <c r="T6"/>
  <c r="T15"/>
  <c r="T17"/>
  <c r="T9"/>
  <c r="T10"/>
  <c r="T11"/>
  <c r="T14"/>
  <c r="T8"/>
  <c r="T16"/>
  <c r="T23"/>
  <c r="T24"/>
  <c r="T25"/>
  <c r="T26"/>
  <c r="T27"/>
  <c r="T28"/>
  <c r="T19"/>
  <c r="T18"/>
  <c r="T7"/>
  <c r="T20"/>
  <c r="T22"/>
  <c r="T29"/>
  <c r="V25" i="1"/>
  <c r="Q26"/>
  <c r="Y26" s="1"/>
  <c r="X26"/>
  <c r="W26"/>
  <c r="U26"/>
  <c r="T26"/>
  <c r="S26"/>
  <c r="W29" i="2"/>
  <c r="AF13"/>
  <c r="AK13"/>
  <c r="V11"/>
  <c r="M11" i="1" l="1"/>
  <c r="U12" i="2"/>
  <c r="V21"/>
  <c r="Y21"/>
  <c r="T12"/>
  <c r="T9" i="42525"/>
  <c r="T13"/>
  <c r="T16"/>
  <c r="T20"/>
  <c r="T17"/>
  <c r="T18"/>
  <c r="Q23"/>
  <c r="Q20" s="1"/>
  <c r="T7"/>
  <c r="T15"/>
  <c r="Q22"/>
  <c r="T12" s="1"/>
  <c r="T10"/>
  <c r="T14"/>
  <c r="C30"/>
  <c r="T25"/>
  <c r="T24"/>
  <c r="T23"/>
  <c r="T26"/>
  <c r="X12" i="2"/>
  <c r="AW13"/>
  <c r="R13"/>
  <c r="Z13" s="1"/>
  <c r="H15" s="1"/>
  <c r="Y13"/>
  <c r="X13"/>
  <c r="U13"/>
  <c r="W21"/>
  <c r="V12"/>
  <c r="T21"/>
  <c r="W12"/>
  <c r="Z12"/>
  <c r="V26" i="1"/>
  <c r="V19"/>
  <c r="Y12" i="2"/>
  <c r="U21"/>
  <c r="X21"/>
  <c r="Z21"/>
  <c r="I15" s="1"/>
  <c r="V13" l="1"/>
  <c r="W13"/>
  <c r="T21" i="42525"/>
  <c r="U21" s="1"/>
  <c r="T19"/>
  <c r="T22"/>
  <c r="T8"/>
  <c r="V8" s="1"/>
  <c r="T6"/>
  <c r="V6" s="1"/>
  <c r="AX13" i="2"/>
  <c r="T13"/>
  <c r="V12" i="42525"/>
  <c r="V21"/>
  <c r="V9"/>
  <c r="V13"/>
  <c r="V16"/>
  <c r="V23"/>
  <c r="V24"/>
  <c r="V25"/>
  <c r="V26"/>
  <c r="C31"/>
  <c r="V15"/>
  <c r="V17"/>
  <c r="V20"/>
  <c r="V22"/>
  <c r="V10"/>
  <c r="V7"/>
  <c r="V18"/>
  <c r="V14"/>
  <c r="V19"/>
  <c r="AU5"/>
  <c r="U6"/>
  <c r="U10"/>
  <c r="U15"/>
  <c r="U5"/>
  <c r="U16"/>
  <c r="U26"/>
  <c r="U24"/>
  <c r="U25"/>
  <c r="AW5"/>
  <c r="U14"/>
  <c r="U22"/>
  <c r="U17"/>
  <c r="U12"/>
  <c r="U19"/>
  <c r="U13"/>
  <c r="U23"/>
  <c r="U18"/>
  <c r="AS5"/>
  <c r="U20"/>
  <c r="U9"/>
  <c r="U7"/>
  <c r="AR5"/>
  <c r="AT5"/>
  <c r="AV5"/>
  <c r="T11"/>
  <c r="V11" s="1"/>
  <c r="T5"/>
  <c r="V5" s="1"/>
  <c r="W21" l="1"/>
  <c r="W19"/>
  <c r="W6"/>
  <c r="U11"/>
  <c r="W11" s="1"/>
  <c r="W5"/>
  <c r="W20"/>
  <c r="W24"/>
  <c r="W15"/>
  <c r="Q24"/>
  <c r="AX5"/>
  <c r="W13"/>
  <c r="W17"/>
  <c r="U8"/>
  <c r="W8" s="1"/>
  <c r="W26"/>
  <c r="W10"/>
  <c r="AY5"/>
  <c r="W7"/>
  <c r="W22"/>
  <c r="W16"/>
  <c r="W9"/>
  <c r="W14"/>
  <c r="W25"/>
  <c r="W23"/>
  <c r="Y25" l="1"/>
  <c r="X25"/>
  <c r="Y26"/>
  <c r="X26"/>
  <c r="X5"/>
  <c r="Y5"/>
  <c r="X14"/>
  <c r="Y14"/>
  <c r="Y7"/>
  <c r="X7"/>
  <c r="Y8"/>
  <c r="X8"/>
  <c r="Y24"/>
  <c r="X24"/>
  <c r="Y11"/>
  <c r="X11"/>
  <c r="X9"/>
  <c r="Y9"/>
  <c r="Y17"/>
  <c r="X17"/>
  <c r="AD8"/>
  <c r="AD10"/>
  <c r="AD11"/>
  <c r="AD7"/>
  <c r="AD14"/>
  <c r="AD18"/>
  <c r="AD19"/>
  <c r="AD12"/>
  <c r="AD17"/>
  <c r="C32"/>
  <c r="AD9"/>
  <c r="AD13"/>
  <c r="AD15"/>
  <c r="AD20"/>
  <c r="AD23"/>
  <c r="AD24"/>
  <c r="AD25"/>
  <c r="AD26"/>
  <c r="AD6"/>
  <c r="AD16"/>
  <c r="AD22"/>
  <c r="AD5"/>
  <c r="AD21"/>
  <c r="C29"/>
  <c r="W12"/>
  <c r="W18"/>
  <c r="X22"/>
  <c r="Y22"/>
  <c r="Y15"/>
  <c r="X15"/>
  <c r="Y19"/>
  <c r="X19"/>
  <c r="Y23"/>
  <c r="X23"/>
  <c r="X16"/>
  <c r="Y16"/>
  <c r="Y10"/>
  <c r="X10"/>
  <c r="X13"/>
  <c r="Y13"/>
  <c r="X20"/>
  <c r="Y20"/>
  <c r="Y6"/>
  <c r="X6"/>
  <c r="X21"/>
  <c r="Y21"/>
  <c r="Y18" l="1"/>
  <c r="X18"/>
  <c r="Y12"/>
  <c r="Z12" s="1"/>
  <c r="X12"/>
  <c r="Z8"/>
  <c r="Z10"/>
  <c r="Z11"/>
  <c r="Z7"/>
  <c r="Z14"/>
  <c r="Z18"/>
  <c r="Z19"/>
  <c r="Z5"/>
  <c r="Z15"/>
  <c r="Z20"/>
  <c r="Z6"/>
  <c r="Z21"/>
  <c r="Z23"/>
  <c r="Z24"/>
  <c r="Z25"/>
  <c r="Z26"/>
  <c r="Z13"/>
  <c r="Z17"/>
  <c r="Z9"/>
  <c r="Z16"/>
  <c r="Z22"/>
  <c r="AL12" l="1"/>
  <c r="AB12"/>
  <c r="AE12" s="1"/>
  <c r="AA12"/>
  <c r="AK12" s="1"/>
  <c r="AC12"/>
  <c r="AL26"/>
  <c r="AB26"/>
  <c r="AE26" s="1"/>
  <c r="AA26"/>
  <c r="AK26" s="1"/>
  <c r="AC26"/>
  <c r="AL5"/>
  <c r="C21"/>
  <c r="AY6"/>
  <c r="AB5"/>
  <c r="AE5" s="1"/>
  <c r="AX6"/>
  <c r="AY7"/>
  <c r="AX7"/>
  <c r="AA5"/>
  <c r="AK5" s="1"/>
  <c r="AX10"/>
  <c r="AY10"/>
  <c r="AC5"/>
  <c r="AB17"/>
  <c r="AE17" s="1"/>
  <c r="AL17"/>
  <c r="AA17"/>
  <c r="AK17" s="1"/>
  <c r="AC17"/>
  <c r="AB6"/>
  <c r="AE6" s="1"/>
  <c r="AL6"/>
  <c r="AA6"/>
  <c r="AK6" s="1"/>
  <c r="AC6"/>
  <c r="AB11"/>
  <c r="AE11" s="1"/>
  <c r="AL11"/>
  <c r="AA11"/>
  <c r="AK11" s="1"/>
  <c r="AC11"/>
  <c r="AL22"/>
  <c r="AB22"/>
  <c r="AE22" s="1"/>
  <c r="AA22"/>
  <c r="AK22" s="1"/>
  <c r="AC22"/>
  <c r="AL13"/>
  <c r="AB13"/>
  <c r="AE13" s="1"/>
  <c r="AA13"/>
  <c r="AK13" s="1"/>
  <c r="AC13"/>
  <c r="AL24"/>
  <c r="AB24"/>
  <c r="AE24" s="1"/>
  <c r="AA24"/>
  <c r="AK24" s="1"/>
  <c r="AC24"/>
  <c r="AB20"/>
  <c r="AE20" s="1"/>
  <c r="AL20"/>
  <c r="AA20"/>
  <c r="AK20" s="1"/>
  <c r="AC20"/>
  <c r="AB18"/>
  <c r="AE18" s="1"/>
  <c r="AL18"/>
  <c r="AA18"/>
  <c r="AK18" s="1"/>
  <c r="AC18"/>
  <c r="AB10"/>
  <c r="AE10" s="1"/>
  <c r="AL10"/>
  <c r="AA10"/>
  <c r="AK10" s="1"/>
  <c r="AC10"/>
  <c r="AL9"/>
  <c r="AB9"/>
  <c r="AE9" s="1"/>
  <c r="AA9"/>
  <c r="AK9" s="1"/>
  <c r="AC9"/>
  <c r="AL21"/>
  <c r="AB21"/>
  <c r="AE21" s="1"/>
  <c r="AA21"/>
  <c r="AK21" s="1"/>
  <c r="AC21"/>
  <c r="AL7"/>
  <c r="AB7"/>
  <c r="AE7" s="1"/>
  <c r="AA7"/>
  <c r="AK7" s="1"/>
  <c r="AC7"/>
  <c r="AB25"/>
  <c r="AE25" s="1"/>
  <c r="AL25"/>
  <c r="AA25"/>
  <c r="AK25" s="1"/>
  <c r="AC25"/>
  <c r="AL19"/>
  <c r="AB19"/>
  <c r="AE19" s="1"/>
  <c r="AA19"/>
  <c r="AK19" s="1"/>
  <c r="AC19"/>
  <c r="AL16"/>
  <c r="AB16"/>
  <c r="AE16" s="1"/>
  <c r="AA16"/>
  <c r="AK16" s="1"/>
  <c r="AC16"/>
  <c r="AB23"/>
  <c r="AE23" s="1"/>
  <c r="AL23"/>
  <c r="AA23"/>
  <c r="AK23" s="1"/>
  <c r="AC23"/>
  <c r="AL15"/>
  <c r="AB15"/>
  <c r="AE15" s="1"/>
  <c r="AA15"/>
  <c r="AK15" s="1"/>
  <c r="AC15"/>
  <c r="AB14"/>
  <c r="AE14" s="1"/>
  <c r="AL14"/>
  <c r="AA14"/>
  <c r="AK14" s="1"/>
  <c r="AC14"/>
  <c r="AL8"/>
  <c r="AB8"/>
  <c r="AE8" s="1"/>
  <c r="AA8"/>
  <c r="AK8" s="1"/>
  <c r="AC8"/>
  <c r="AM14" l="1"/>
  <c r="AF14"/>
  <c r="AM23"/>
  <c r="AF23"/>
  <c r="AM10"/>
  <c r="AF10"/>
  <c r="AF20"/>
  <c r="AM20"/>
  <c r="AF6"/>
  <c r="AM6"/>
  <c r="AF5"/>
  <c r="C26"/>
  <c r="AM5"/>
  <c r="AR19"/>
  <c r="AS19" s="1"/>
  <c r="AR21"/>
  <c r="AS21" s="1"/>
  <c r="AR20"/>
  <c r="AS20" s="1"/>
  <c r="AR16"/>
  <c r="AS16" s="1"/>
  <c r="AR17"/>
  <c r="AS17" s="1"/>
  <c r="AR18"/>
  <c r="AS18" s="1"/>
  <c r="AR23"/>
  <c r="AS23" s="1"/>
  <c r="AR25"/>
  <c r="AS25" s="1"/>
  <c r="AR22"/>
  <c r="AS22" s="1"/>
  <c r="AR26"/>
  <c r="AS26" s="1"/>
  <c r="AR24"/>
  <c r="AS24" s="1"/>
  <c r="AY11"/>
  <c r="AY12"/>
  <c r="AM26"/>
  <c r="AF26"/>
  <c r="AF12"/>
  <c r="AM12"/>
  <c r="AM25"/>
  <c r="AF25"/>
  <c r="AM18"/>
  <c r="AF18"/>
  <c r="AM11"/>
  <c r="AF11"/>
  <c r="AM17"/>
  <c r="AF17"/>
  <c r="AM8"/>
  <c r="AF8"/>
  <c r="AF15"/>
  <c r="AM15"/>
  <c r="AF16"/>
  <c r="AM16"/>
  <c r="AM19"/>
  <c r="AF19"/>
  <c r="AM7"/>
  <c r="AF7"/>
  <c r="AF21"/>
  <c r="AM21"/>
  <c r="AF9"/>
  <c r="AM9"/>
  <c r="AM24"/>
  <c r="AF24"/>
  <c r="AF13"/>
  <c r="AM13"/>
  <c r="AF22"/>
  <c r="AM22"/>
  <c r="AX12"/>
  <c r="AX11"/>
  <c r="AG20" l="1"/>
  <c r="AO20" s="1"/>
  <c r="AN20"/>
  <c r="AN24"/>
  <c r="AG24"/>
  <c r="AO24" s="1"/>
  <c r="AG19"/>
  <c r="AO19" s="1"/>
  <c r="AN19"/>
  <c r="AN17"/>
  <c r="AG17"/>
  <c r="AO17" s="1"/>
  <c r="AN18"/>
  <c r="AG18"/>
  <c r="AO18" s="1"/>
  <c r="AN14"/>
  <c r="AG14"/>
  <c r="AO14" s="1"/>
  <c r="AV11"/>
  <c r="AN7"/>
  <c r="AG7"/>
  <c r="AO7" s="1"/>
  <c r="AG8"/>
  <c r="AO8" s="1"/>
  <c r="AN8"/>
  <c r="AG11"/>
  <c r="AO11" s="1"/>
  <c r="AN11"/>
  <c r="AN25"/>
  <c r="AG25"/>
  <c r="AO25" s="1"/>
  <c r="AN26"/>
  <c r="AG26"/>
  <c r="AO26" s="1"/>
  <c r="AN23"/>
  <c r="AG23"/>
  <c r="AO23" s="1"/>
  <c r="AN13"/>
  <c r="AG13"/>
  <c r="AO13" s="1"/>
  <c r="AN9"/>
  <c r="AG9"/>
  <c r="AO9" s="1"/>
  <c r="AN16"/>
  <c r="AG16"/>
  <c r="AO16" s="1"/>
  <c r="AN5"/>
  <c r="C27"/>
  <c r="AG5"/>
  <c r="AG10"/>
  <c r="AO10" s="1"/>
  <c r="AN10"/>
  <c r="AN22"/>
  <c r="AG22"/>
  <c r="AO22" s="1"/>
  <c r="AG21"/>
  <c r="AO21" s="1"/>
  <c r="AN21"/>
  <c r="AN15"/>
  <c r="AG15"/>
  <c r="AO15" s="1"/>
  <c r="AG12"/>
  <c r="AO12" s="1"/>
  <c r="AN12"/>
  <c r="AW11"/>
  <c r="AG6"/>
  <c r="AO6" s="1"/>
  <c r="AN6"/>
  <c r="AV12" l="1"/>
  <c r="AO5"/>
  <c r="C25"/>
  <c r="AS11" l="1"/>
  <c r="AR12"/>
  <c r="AR11"/>
  <c r="AS12"/>
</calcChain>
</file>

<file path=xl/comments1.xml><?xml version="1.0" encoding="utf-8"?>
<comments xmlns="http://schemas.openxmlformats.org/spreadsheetml/2006/main">
  <authors>
    <author>Craig Tenney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>Cells with red triangle markers contain detailed comments.</t>
        </r>
      </text>
    </comment>
    <comment ref="B3" authorId="0">
      <text>
        <r>
          <rPr>
            <b/>
            <sz val="8"/>
            <color indexed="81"/>
            <rFont val="Tahoma"/>
            <family val="2"/>
          </rPr>
          <t>Servo distance forward of hingeline (cm)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This cell value can be adjusted manually.</t>
        </r>
      </text>
    </comment>
    <comment ref="B4" authorId="0">
      <text>
        <r>
          <rPr>
            <b/>
            <sz val="8"/>
            <color indexed="81"/>
            <rFont val="Tahoma"/>
            <family val="2"/>
          </rPr>
          <t>Servo distance above/below chordline (cm)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>Control horn distance aft of hingeline (cm)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Control horn height above/below chordline (cm)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Maximum postitive servo rotation (degrees)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This cell value can be adjusted manually.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Maximum negative servo rotation (degrees)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This cell value can be adjusted manually.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>Maximum positive control rotation (degrees)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This cell value can be adjusted manually.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Maximum negative control rotation (degrees)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This cell value can be adjusted manually.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Control offset from neutral (degrees)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Relative angle of attack of surface (degrees)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>Reverse servo rotation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Maximum airspeed (miles / hour)</t>
        </r>
      </text>
    </comment>
    <comment ref="C16" authorId="0">
      <text>
        <r>
          <rPr>
            <b/>
            <sz val="8"/>
            <color indexed="81"/>
            <rFont val="Tahoma"/>
            <family val="2"/>
          </rPr>
          <t>This cell value can be adjusted manually.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>Average control surface chord (cm)</t>
        </r>
      </text>
    </comment>
    <comment ref="C17" authorId="0">
      <text>
        <r>
          <rPr>
            <b/>
            <sz val="8"/>
            <color indexed="81"/>
            <rFont val="Tahoma"/>
            <family val="2"/>
          </rPr>
          <t>This cell value can be adjusted manually.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Average control surface length (cm)</t>
        </r>
      </text>
    </comment>
    <comment ref="C18" authorId="0">
      <text>
        <r>
          <rPr>
            <b/>
            <sz val="8"/>
            <color indexed="81"/>
            <rFont val="Tahoma"/>
            <family val="2"/>
          </rPr>
          <t>This cell value can be adjusted manually.</t>
        </r>
      </text>
    </comment>
    <comment ref="B20" authorId="0">
      <text>
        <r>
          <rPr>
            <b/>
            <sz val="8"/>
            <color indexed="81"/>
            <rFont val="Tahoma"/>
            <family val="2"/>
          </rPr>
          <t>Current transmitter stick position (%)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Current control surface deflection angle (degrees)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Maximum required servo torque (ounce inches)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Maximum torque on control horn (ounce inches)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Maximum force exerted on/by pushrod (pounds force)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>Servo arm/pushrod angle at 0% stick (degrees)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>Servo arm/chordline angle at 0% stick (degrees)</t>
        </r>
      </text>
    </comment>
    <comment ref="B31" authorId="0">
      <text>
        <r>
          <rPr>
            <b/>
            <sz val="8"/>
            <color indexed="81"/>
            <rFont val="Tahoma"/>
            <family val="2"/>
          </rPr>
          <t>Servo arm length (cm)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>Pushrod length (cm)</t>
        </r>
      </text>
    </comment>
  </commentList>
</comments>
</file>

<file path=xl/sharedStrings.xml><?xml version="1.0" encoding="utf-8"?>
<sst xmlns="http://schemas.openxmlformats.org/spreadsheetml/2006/main" count="330" uniqueCount="225">
  <si>
    <t>Rc+</t>
  </si>
  <si>
    <t>Rc-</t>
  </si>
  <si>
    <t>Rs+</t>
  </si>
  <si>
    <t>Rs-</t>
  </si>
  <si>
    <t>Lc</t>
  </si>
  <si>
    <t>Aco</t>
  </si>
  <si>
    <t>Ac+</t>
  </si>
  <si>
    <t>Ac-</t>
  </si>
  <si>
    <t>K+</t>
  </si>
  <si>
    <t>K-</t>
  </si>
  <si>
    <t>A</t>
  </si>
  <si>
    <t>B</t>
  </si>
  <si>
    <t>Aro</t>
  </si>
  <si>
    <t>Aso</t>
  </si>
  <si>
    <t>As+</t>
  </si>
  <si>
    <t>As-</t>
  </si>
  <si>
    <t>Oc</t>
  </si>
  <si>
    <t>Xo</t>
  </si>
  <si>
    <t>Yo</t>
  </si>
  <si>
    <t>X+</t>
  </si>
  <si>
    <t>Y+</t>
  </si>
  <si>
    <t>X-</t>
  </si>
  <si>
    <t>Y-</t>
  </si>
  <si>
    <t>Ls</t>
  </si>
  <si>
    <t>Xs</t>
  </si>
  <si>
    <t>Ys</t>
  </si>
  <si>
    <t>Xc</t>
  </si>
  <si>
    <t>Yc</t>
  </si>
  <si>
    <t>Lp</t>
  </si>
  <si>
    <t>AoA</t>
  </si>
  <si>
    <t>C</t>
  </si>
  <si>
    <t>HL</t>
  </si>
  <si>
    <t>CL</t>
  </si>
  <si>
    <t>SC</t>
  </si>
  <si>
    <t>SL</t>
  </si>
  <si>
    <t>TE</t>
  </si>
  <si>
    <t>LE</t>
  </si>
  <si>
    <t>CB</t>
  </si>
  <si>
    <t>X</t>
  </si>
  <si>
    <t>Y</t>
  </si>
  <si>
    <t>Stick</t>
  </si>
  <si>
    <t>As</t>
  </si>
  <si>
    <t>Ac</t>
  </si>
  <si>
    <t>Ac2</t>
  </si>
  <si>
    <t>Ac1</t>
  </si>
  <si>
    <t>X hl</t>
  </si>
  <si>
    <t>Y hl</t>
  </si>
  <si>
    <t>Y sc</t>
  </si>
  <si>
    <t>X sc</t>
  </si>
  <si>
    <t>atan(B/A)</t>
  </si>
  <si>
    <t>Max</t>
  </si>
  <si>
    <t>Min</t>
  </si>
  <si>
    <t>S rev</t>
  </si>
  <si>
    <t>A flip</t>
  </si>
  <si>
    <t>fYs</t>
  </si>
  <si>
    <t>fXc</t>
  </si>
  <si>
    <t>fYc</t>
  </si>
  <si>
    <t>fOc</t>
  </si>
  <si>
    <t>fAoA</t>
  </si>
  <si>
    <t>fStick</t>
  </si>
  <si>
    <t>cm</t>
  </si>
  <si>
    <t>deg</t>
  </si>
  <si>
    <t>mph</t>
  </si>
  <si>
    <t>oz-in</t>
  </si>
  <si>
    <t>lbf</t>
  </si>
  <si>
    <t>%</t>
  </si>
  <si>
    <t>Acp</t>
  </si>
  <si>
    <t>Asp</t>
  </si>
  <si>
    <t>Aspo</t>
  </si>
  <si>
    <t>Tc</t>
  </si>
  <si>
    <t>Ts</t>
  </si>
  <si>
    <t>Fp</t>
  </si>
  <si>
    <t>Ts max</t>
  </si>
  <si>
    <t>Tc max</t>
  </si>
  <si>
    <t>Fp max</t>
  </si>
  <si>
    <t>Vmax</t>
  </si>
  <si>
    <t>Cavg</t>
  </si>
  <si>
    <t>Lavg</t>
  </si>
  <si>
    <t>TEdef</t>
  </si>
  <si>
    <t>CSang</t>
  </si>
  <si>
    <t>Output Data:</t>
  </si>
  <si>
    <t>Control Geometry Data:</t>
  </si>
  <si>
    <t>Stuff:</t>
  </si>
  <si>
    <t>Pushrod Force (lbf) vs. Deflection</t>
  </si>
  <si>
    <t>Control Horn Torque (oz-in) vs. Deflection</t>
  </si>
  <si>
    <t>Req'd Servo Torque (oz-in) vs. Deflection</t>
  </si>
  <si>
    <t>Maximum airspeed (mi/hr)</t>
  </si>
  <si>
    <t>Servo Torque Required for Up/Right (+) Surface Deflections</t>
  </si>
  <si>
    <t>Servo Torque Required for Down/Left (-) Surface Deflections</t>
  </si>
  <si>
    <t>Data for Control Geometry Plots</t>
  </si>
  <si>
    <t>Data for Control Deflection Plots</t>
  </si>
  <si>
    <t>Aileron(s)</t>
  </si>
  <si>
    <t>Elevator(s)</t>
  </si>
  <si>
    <t>Rudder</t>
  </si>
  <si>
    <t>Airspeed (mi/hr):</t>
  </si>
  <si>
    <t>HLx</t>
  </si>
  <si>
    <t>HLy</t>
  </si>
  <si>
    <t>P</t>
  </si>
  <si>
    <t>Hc</t>
  </si>
  <si>
    <t>L</t>
  </si>
  <si>
    <t>Pos</t>
  </si>
  <si>
    <t>Neg</t>
  </si>
  <si>
    <t>Average control surface chord (cm)</t>
  </si>
  <si>
    <t>Surface</t>
  </si>
  <si>
    <t>Servo</t>
  </si>
  <si>
    <t>TE def.</t>
  </si>
  <si>
    <t>Average control surface length (cm)</t>
  </si>
  <si>
    <t>Angle</t>
  </si>
  <si>
    <t>Required Servo Torque (oz-in)</t>
  </si>
  <si>
    <t>(cm)</t>
  </si>
  <si>
    <t>(%)</t>
  </si>
  <si>
    <t>Ax</t>
  </si>
  <si>
    <t>Ex</t>
  </si>
  <si>
    <t>Rx</t>
  </si>
  <si>
    <t>Ay</t>
  </si>
  <si>
    <t>Ey</t>
  </si>
  <si>
    <t>Ry</t>
  </si>
  <si>
    <t>Ail</t>
  </si>
  <si>
    <t>Maximum up/right (+) rotation of servo arm (degrees)</t>
  </si>
  <si>
    <t>Hs</t>
  </si>
  <si>
    <t>Maximum down/left (-) rotation of servo arm (degrees)</t>
  </si>
  <si>
    <t>Neutral</t>
  </si>
  <si>
    <t>Maximum up/right (+) rotation of control surface (degrees)</t>
  </si>
  <si>
    <t>Maximum down/left (-) rotation of control surface (degrees)</t>
  </si>
  <si>
    <t>SA</t>
  </si>
  <si>
    <t>CA</t>
  </si>
  <si>
    <t>CH</t>
  </si>
  <si>
    <t>Pushrod to control horn angle (A in figure, default 90 degrees)</t>
  </si>
  <si>
    <t>Elev</t>
  </si>
  <si>
    <t>Maximum required torque at maximum airspeed (oz-in)</t>
  </si>
  <si>
    <t>Virtual pushrod to control horn angle at neutral (degrees)</t>
  </si>
  <si>
    <t>Required pushrod to servo arm angle at neutral (degrees)</t>
  </si>
  <si>
    <t>Required servo arm length (cm)</t>
  </si>
  <si>
    <t>Rud</t>
  </si>
  <si>
    <t>stalled servo:  required torque exceeds available torque</t>
  </si>
  <si>
    <t>Sample optimization of aileron control setup for minimum servo demand:</t>
  </si>
  <si>
    <t>1  To limit total aileron servo throw to 120 degrees, enter the formula (=120-H7) in cell H8.</t>
  </si>
  <si>
    <t>2  Use the spin button in cell H7 to vary aileron servo throw.</t>
  </si>
  <si>
    <t>3  Watch cell H15 for maximum required aileron servo torque at maximum airspeed.</t>
  </si>
  <si>
    <t>4  Choose the servo throw that minimizes the maximum required torque.</t>
  </si>
  <si>
    <t>(Note: The maximum required torque is the highest point of the red OR blue line in the graph.)</t>
  </si>
  <si>
    <r>
      <t>Optional:</t>
    </r>
    <r>
      <rPr>
        <sz val="10"/>
        <rFont val="Arial"/>
        <family val="2"/>
      </rPr>
      <t xml:space="preserve">  Maximum available servo torque (oz-in)</t>
    </r>
  </si>
  <si>
    <r>
      <t>Optional:</t>
    </r>
    <r>
      <rPr>
        <sz val="10"/>
        <rFont val="Arial"/>
        <family val="2"/>
      </rPr>
      <t xml:space="preserve"> Control horn distance behind hingeline (D in figure, cm)</t>
    </r>
  </si>
  <si>
    <r>
      <t>Optional:</t>
    </r>
    <r>
      <rPr>
        <sz val="10"/>
        <rFont val="Arial"/>
        <family val="2"/>
      </rPr>
      <t xml:space="preserve"> Control linkage distance from chordline (H in figure, cm)</t>
    </r>
  </si>
  <si>
    <r>
      <t>Hint:</t>
    </r>
    <r>
      <rPr>
        <sz val="10"/>
        <rFont val="Arial"/>
        <family val="2"/>
      </rPr>
      <t xml:space="preserve"> see sample optimization routine below</t>
    </r>
  </si>
  <si>
    <t>This spreadsheet predicts required servo torques using the following assumptions:</t>
  </si>
  <si>
    <t>Please note:</t>
  </si>
  <si>
    <t>s = servo arm angle from neutral</t>
  </si>
  <si>
    <t>S = control surface angle from neutral</t>
  </si>
  <si>
    <t>M = molecular weight of air (~28.6 g/mol)</t>
  </si>
  <si>
    <t>P = air pressure (1 atm)</t>
  </si>
  <si>
    <t>C = average chord length of control surface</t>
  </si>
  <si>
    <t>L = average length of control surface</t>
  </si>
  <si>
    <t>V = airspeed</t>
  </si>
  <si>
    <t>T = air temperature (~290 K)</t>
  </si>
  <si>
    <t>t = servo torque</t>
  </si>
  <si>
    <t>Just be sure to give proper credit to its creator.</t>
  </si>
  <si>
    <t>Feel free to share this spreadsheet and model with other individuals for nonprofit use.</t>
  </si>
  <si>
    <t>7 The wing, stab, fuse, and control surfaces are thin, flat slabs.</t>
  </si>
  <si>
    <t>2 Angular velocity and acceleration of the aircraft is zero.</t>
  </si>
  <si>
    <t>4 Conditions are:  sea level, zero humidity, moderate (~55 F) temperature.</t>
  </si>
  <si>
    <t>6 Control mechanisms are frictionless and surfaces are mass-balanced.</t>
  </si>
  <si>
    <t>Maximum deflection of servo arm from center (degrees)</t>
  </si>
  <si>
    <t>Maximum deflection of control surface from center (degrees)</t>
  </si>
  <si>
    <t>8 No aerodynamic counterbalances are used.  (Account for these manually, if desired.)</t>
  </si>
  <si>
    <t>Servo Torque Required for Various Intermediate Surface Deflections</t>
  </si>
  <si>
    <r>
      <t>A = sin(S) * tan</t>
    </r>
    <r>
      <rPr>
        <sz val="10"/>
        <rFont val="Arial"/>
        <family val="2"/>
      </rPr>
      <t>(S) / tan(s)</t>
    </r>
  </si>
  <si>
    <r>
      <t>R = ideal gas constant (82.056 atm 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/ mol K)</t>
    </r>
  </si>
  <si>
    <t>Aho</t>
  </si>
  <si>
    <t>Point Here</t>
  </si>
  <si>
    <r>
      <t>Control Linkage Diagram</t>
    </r>
    <r>
      <rPr>
        <sz val="10"/>
        <rFont val="Arial"/>
        <family val="2"/>
      </rPr>
      <t xml:space="preserve"> (Click on the diagram to recenter the image.)</t>
    </r>
  </si>
  <si>
    <t>Asco</t>
  </si>
  <si>
    <t>slack</t>
  </si>
  <si>
    <t>mm</t>
  </si>
  <si>
    <r>
      <t>D</t>
    </r>
    <r>
      <rPr>
        <sz val="10"/>
        <rFont val="Arial"/>
        <family val="2"/>
      </rPr>
      <t>Ac</t>
    </r>
  </si>
  <si>
    <t>Offset at either the servo or control horn may be required to eliminate binding.</t>
  </si>
  <si>
    <t>Positive values indicate slack.  Negative values indicate binding.</t>
  </si>
  <si>
    <t>The results are coarse, to say the least, but it's better than a blind guess.</t>
  </si>
  <si>
    <t>3 Air flow may be modelled using the concept of dynamic pressure.</t>
  </si>
  <si>
    <t>1 The angle of attack of the wing, stab, or fuse is zero (relative to the airflow).*</t>
  </si>
  <si>
    <t>5 Control linkages have zero offset at hingeline and are perpendicular to horns at neutral.**</t>
  </si>
  <si>
    <t>9 The pushrods are significantly longer than the servo and control horns.*</t>
  </si>
  <si>
    <t>* This assumption dropped in "ServoPlus" worksheet.</t>
  </si>
  <si>
    <t>** This assumption dropped in "Offset &amp; Differential" and "ServoPlus" worksheets.</t>
  </si>
  <si>
    <t>The calculations are completely theoretical.  No empirical "tweaking" has been done.</t>
  </si>
  <si>
    <t>The assumptions (except #6) should generally yield conservative (high) predicted torques.</t>
  </si>
  <si>
    <t>Extreme control throws are probably not practical at high speeds.</t>
  </si>
  <si>
    <t>This model is best used for comparisons.  No guarantees are made of its validity.</t>
  </si>
  <si>
    <t>Maximum required servo torque may occur at LESS than maximum throw.</t>
  </si>
  <si>
    <t>The mathematical model:    t = (AMPC2LV2) / (4RT)      where</t>
  </si>
  <si>
    <t>T=</t>
  </si>
  <si>
    <t>F</t>
  </si>
  <si>
    <t>K</t>
  </si>
  <si>
    <t>Cp/Cv=</t>
  </si>
  <si>
    <t>speed of sound = sqrt[(R T Cp) / (M Cv)]</t>
  </si>
  <si>
    <t>Cp/Cv for air from Perry's ChE's Handbook</t>
  </si>
  <si>
    <t>Assuming ideal gas behavior:</t>
  </si>
  <si>
    <t>Theoretical max level flight speed based on prop pitch and rpm (and prop tip speed thrown in, too)</t>
  </si>
  <si>
    <t>Condense Axes</t>
  </si>
  <si>
    <t>Stickmin</t>
  </si>
  <si>
    <t>Stickmax</t>
  </si>
  <si>
    <t>Unit</t>
  </si>
  <si>
    <r>
      <t xml:space="preserve">Deflection vs. Stick Pos. </t>
    </r>
    <r>
      <rPr>
        <sz val="10"/>
        <rFont val="Arial"/>
        <family val="2"/>
      </rPr>
      <t>(Click to toggle)</t>
    </r>
  </si>
  <si>
    <t>Torque, Force, and Deflection Data:</t>
  </si>
  <si>
    <t>Asco = 90 degrees (see Output Data) corresponds to zero servo offset (i.e. straight arms).</t>
  </si>
  <si>
    <t>Drag, airfoils, and gravity are ignored (realistic, eh?).</t>
  </si>
  <si>
    <t>High prop tip speeds make for noisy airplanes.</t>
  </si>
  <si>
    <r>
      <t>Requires:</t>
    </r>
    <r>
      <rPr>
        <sz val="10"/>
        <rFont val="Arial"/>
        <family val="2"/>
      </rPr>
      <t xml:space="preserve">  Equal +/- servo throw (Rs+ = Rs-) and servo on centerline (Ys = 0)</t>
    </r>
  </si>
  <si>
    <r>
      <t>Assumed:</t>
    </r>
    <r>
      <rPr>
        <sz val="10"/>
        <rFont val="Arial"/>
        <family val="2"/>
      </rPr>
      <t xml:space="preserve">  Pull cables are equal length and connected to either side of servo wheel or arm.</t>
    </r>
  </si>
  <si>
    <t>Click any plot below to toggle +/- axis overlap.</t>
  </si>
  <si>
    <r>
      <t>Pull-Pull Analysis</t>
    </r>
    <r>
      <rPr>
        <sz val="10"/>
        <rFont val="Arial"/>
        <family val="2"/>
      </rPr>
      <t xml:space="preserve"> (click plot to toggle between slack and "play")</t>
    </r>
  </si>
  <si>
    <r>
      <t>Note:</t>
    </r>
    <r>
      <rPr>
        <sz val="10"/>
        <rFont val="Arial"/>
        <family val="2"/>
      </rPr>
      <t xml:space="preserve"> You can make copies of this worksheet in this workbook for use with different control surfaces.</t>
    </r>
  </si>
  <si>
    <t>Input Data:</t>
  </si>
  <si>
    <t>Diameter (in)</t>
  </si>
  <si>
    <t>Pitch (in)</t>
  </si>
  <si>
    <t>RPM</t>
  </si>
  <si>
    <t>Max airspeed (mph)</t>
  </si>
  <si>
    <t>Prop tip speed (Mach)</t>
  </si>
  <si>
    <t>("High" seems to be very roughly Mach 0.6+.)</t>
  </si>
  <si>
    <t>M ~ 28.6 g/mol for dry air</t>
  </si>
  <si>
    <t>All Star Size Inches</t>
  </si>
  <si>
    <t>Ailerons</t>
  </si>
  <si>
    <t>Elevators</t>
  </si>
  <si>
    <t>Cord</t>
  </si>
  <si>
    <t>Length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</si>
</sst>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i/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3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9" fontId="3" fillId="2" borderId="0" xfId="1" applyFont="1" applyFill="1" applyAlignment="1" applyProtection="1">
      <alignment horizontal="center"/>
      <protection hidden="1"/>
    </xf>
    <xf numFmtId="1" fontId="3" fillId="2" borderId="0" xfId="0" applyNumberFormat="1" applyFont="1" applyFill="1" applyAlignment="1" applyProtection="1">
      <alignment horizontal="center"/>
      <protection hidden="1"/>
    </xf>
    <xf numFmtId="164" fontId="3" fillId="2" borderId="0" xfId="0" applyNumberFormat="1" applyFont="1" applyFill="1" applyAlignment="1" applyProtection="1">
      <alignment horizontal="center"/>
      <protection hidden="1"/>
    </xf>
    <xf numFmtId="2" fontId="3" fillId="2" borderId="0" xfId="0" applyNumberFormat="1" applyFont="1" applyFill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164" fontId="3" fillId="2" borderId="0" xfId="0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hidden="1"/>
    </xf>
    <xf numFmtId="164" fontId="2" fillId="2" borderId="0" xfId="0" applyNumberFormat="1" applyFont="1" applyFill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164" fontId="3" fillId="3" borderId="4" xfId="0" applyNumberFormat="1" applyFont="1" applyFill="1" applyBorder="1" applyAlignment="1" applyProtection="1">
      <alignment horizontal="center"/>
      <protection hidden="1"/>
    </xf>
    <xf numFmtId="164" fontId="3" fillId="3" borderId="5" xfId="0" applyNumberFormat="1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3" borderId="8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164" fontId="3" fillId="3" borderId="9" xfId="0" applyNumberFormat="1" applyFont="1" applyFill="1" applyBorder="1" applyAlignment="1" applyProtection="1">
      <alignment horizontal="center"/>
      <protection hidden="1"/>
    </xf>
    <xf numFmtId="164" fontId="3" fillId="3" borderId="8" xfId="0" applyNumberFormat="1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Alignment="1" applyProtection="1">
      <alignment horizontal="center"/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164" fontId="3" fillId="3" borderId="13" xfId="0" applyNumberFormat="1" applyFont="1" applyFill="1" applyBorder="1" applyAlignment="1" applyProtection="1">
      <alignment horizontal="center"/>
      <protection hidden="1"/>
    </xf>
    <xf numFmtId="164" fontId="3" fillId="3" borderId="14" xfId="0" applyNumberFormat="1" applyFont="1" applyFill="1" applyBorder="1" applyAlignment="1" applyProtection="1">
      <alignment horizontal="center"/>
      <protection hidden="1"/>
    </xf>
    <xf numFmtId="0" fontId="3" fillId="3" borderId="15" xfId="0" applyFont="1" applyFill="1" applyBorder="1" applyAlignment="1" applyProtection="1">
      <alignment horizontal="center"/>
      <protection hidden="1"/>
    </xf>
    <xf numFmtId="164" fontId="3" fillId="3" borderId="16" xfId="0" applyNumberFormat="1" applyFont="1" applyFill="1" applyBorder="1" applyAlignment="1" applyProtection="1">
      <alignment horizontal="right"/>
      <protection hidden="1"/>
    </xf>
    <xf numFmtId="164" fontId="3" fillId="3" borderId="17" xfId="0" applyNumberFormat="1" applyFont="1" applyFill="1" applyBorder="1" applyAlignment="1" applyProtection="1">
      <alignment horizontal="right"/>
      <protection hidden="1"/>
    </xf>
    <xf numFmtId="164" fontId="3" fillId="3" borderId="0" xfId="0" applyNumberFormat="1" applyFont="1" applyFill="1" applyBorder="1" applyAlignment="1" applyProtection="1">
      <alignment horizontal="right"/>
      <protection hidden="1"/>
    </xf>
    <xf numFmtId="9" fontId="3" fillId="3" borderId="16" xfId="1" applyFont="1" applyFill="1" applyBorder="1" applyAlignment="1" applyProtection="1">
      <alignment horizontal="center"/>
      <protection hidden="1"/>
    </xf>
    <xf numFmtId="164" fontId="3" fillId="3" borderId="0" xfId="0" applyNumberFormat="1" applyFont="1" applyFill="1" applyBorder="1" applyAlignment="1" applyProtection="1">
      <alignment horizontal="center"/>
      <protection hidden="1"/>
    </xf>
    <xf numFmtId="1" fontId="3" fillId="3" borderId="0" xfId="0" applyNumberFormat="1" applyFont="1" applyFill="1" applyBorder="1" applyAlignment="1" applyProtection="1">
      <alignment horizontal="center"/>
      <protection hidden="1"/>
    </xf>
    <xf numFmtId="1" fontId="3" fillId="3" borderId="17" xfId="0" applyNumberFormat="1" applyFont="1" applyFill="1" applyBorder="1" applyAlignment="1" applyProtection="1">
      <alignment horizontal="center"/>
      <protection hidden="1"/>
    </xf>
    <xf numFmtId="0" fontId="3" fillId="3" borderId="18" xfId="0" applyFont="1" applyFill="1" applyBorder="1" applyAlignment="1" applyProtection="1">
      <alignment horizontal="center"/>
      <protection hidden="1"/>
    </xf>
    <xf numFmtId="0" fontId="3" fillId="3" borderId="19" xfId="0" applyFont="1" applyFill="1" applyBorder="1" applyAlignment="1" applyProtection="1">
      <alignment horizontal="center"/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3" fillId="3" borderId="21" xfId="0" applyFont="1" applyFill="1" applyBorder="1" applyAlignment="1" applyProtection="1">
      <alignment horizontal="center"/>
      <protection hidden="1"/>
    </xf>
    <xf numFmtId="0" fontId="3" fillId="3" borderId="22" xfId="0" applyFont="1" applyFill="1" applyBorder="1" applyAlignment="1" applyProtection="1">
      <alignment horizontal="right"/>
      <protection hidden="1"/>
    </xf>
    <xf numFmtId="0" fontId="3" fillId="3" borderId="3" xfId="0" applyFont="1" applyFill="1" applyBorder="1" applyAlignment="1" applyProtection="1">
      <alignment horizontal="right"/>
      <protection hidden="1"/>
    </xf>
    <xf numFmtId="164" fontId="3" fillId="3" borderId="4" xfId="0" applyNumberFormat="1" applyFont="1" applyFill="1" applyBorder="1" applyAlignment="1" applyProtection="1">
      <alignment horizontal="right"/>
      <protection hidden="1"/>
    </xf>
    <xf numFmtId="164" fontId="3" fillId="3" borderId="5" xfId="0" applyNumberFormat="1" applyFont="1" applyFill="1" applyBorder="1" applyAlignment="1" applyProtection="1">
      <alignment horizontal="right"/>
      <protection hidden="1"/>
    </xf>
    <xf numFmtId="164" fontId="3" fillId="3" borderId="13" xfId="0" applyNumberFormat="1" applyFont="1" applyFill="1" applyBorder="1" applyAlignment="1" applyProtection="1">
      <alignment horizontal="right"/>
      <protection hidden="1"/>
    </xf>
    <xf numFmtId="164" fontId="3" fillId="3" borderId="14" xfId="0" applyNumberFormat="1" applyFont="1" applyFill="1" applyBorder="1" applyAlignment="1" applyProtection="1">
      <alignment horizontal="right"/>
      <protection hidden="1"/>
    </xf>
    <xf numFmtId="1" fontId="3" fillId="3" borderId="21" xfId="0" applyNumberFormat="1" applyFont="1" applyFill="1" applyBorder="1" applyAlignment="1" applyProtection="1">
      <alignment horizontal="center"/>
      <protection hidden="1"/>
    </xf>
    <xf numFmtId="9" fontId="3" fillId="3" borderId="22" xfId="1" applyFont="1" applyFill="1" applyBorder="1" applyAlignment="1" applyProtection="1">
      <alignment horizontal="center"/>
      <protection hidden="1"/>
    </xf>
    <xf numFmtId="1" fontId="3" fillId="3" borderId="13" xfId="0" applyNumberFormat="1" applyFont="1" applyFill="1" applyBorder="1" applyAlignment="1" applyProtection="1">
      <alignment horizontal="center"/>
      <protection hidden="1"/>
    </xf>
    <xf numFmtId="1" fontId="3" fillId="3" borderId="14" xfId="0" applyNumberFormat="1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2" fillId="4" borderId="21" xfId="0" applyFont="1" applyFill="1" applyBorder="1" applyAlignment="1" applyProtection="1">
      <alignment horizontal="center"/>
      <protection locked="0" hidden="1"/>
    </xf>
    <xf numFmtId="0" fontId="3" fillId="4" borderId="2" xfId="0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0" fontId="3" fillId="4" borderId="10" xfId="0" applyFont="1" applyFill="1" applyBorder="1" applyAlignment="1" applyProtection="1">
      <alignment horizontal="center"/>
      <protection hidden="1"/>
    </xf>
    <xf numFmtId="0" fontId="3" fillId="4" borderId="11" xfId="0" applyFont="1" applyFill="1" applyBorder="1" applyAlignment="1" applyProtection="1">
      <alignment horizontal="center"/>
      <protection hidden="1"/>
    </xf>
    <xf numFmtId="0" fontId="3" fillId="4" borderId="12" xfId="0" applyFont="1" applyFill="1" applyBorder="1" applyAlignment="1" applyProtection="1">
      <alignment horizontal="center"/>
      <protection hidden="1"/>
    </xf>
    <xf numFmtId="0" fontId="3" fillId="4" borderId="22" xfId="0" applyFont="1" applyFill="1" applyBorder="1" applyAlignment="1" applyProtection="1">
      <alignment horizontal="center"/>
      <protection hidden="1"/>
    </xf>
    <xf numFmtId="0" fontId="2" fillId="4" borderId="11" xfId="0" applyFont="1" applyFill="1" applyBorder="1" applyAlignment="1" applyProtection="1">
      <alignment horizontal="center"/>
      <protection locked="0" hidden="1"/>
    </xf>
    <xf numFmtId="0" fontId="3" fillId="4" borderId="18" xfId="0" applyFont="1" applyFill="1" applyBorder="1" applyAlignment="1" applyProtection="1">
      <alignment horizontal="center"/>
      <protection hidden="1"/>
    </xf>
    <xf numFmtId="0" fontId="3" fillId="4" borderId="19" xfId="0" applyFont="1" applyFill="1" applyBorder="1" applyAlignment="1" applyProtection="1">
      <alignment horizontal="center"/>
      <protection hidden="1"/>
    </xf>
    <xf numFmtId="0" fontId="3" fillId="4" borderId="20" xfId="0" applyFont="1" applyFill="1" applyBorder="1" applyAlignment="1" applyProtection="1">
      <alignment horizontal="center"/>
      <protection hidden="1"/>
    </xf>
    <xf numFmtId="0" fontId="3" fillId="4" borderId="21" xfId="0" applyFont="1" applyFill="1" applyBorder="1" applyAlignment="1" applyProtection="1">
      <alignment horizontal="center"/>
      <protection hidden="1"/>
    </xf>
    <xf numFmtId="0" fontId="2" fillId="4" borderId="19" xfId="0" applyFont="1" applyFill="1" applyBorder="1" applyAlignment="1" applyProtection="1">
      <alignment horizontal="center"/>
      <protection locked="0"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1" fontId="3" fillId="5" borderId="4" xfId="0" applyNumberFormat="1" applyFont="1" applyFill="1" applyBorder="1" applyAlignment="1" applyProtection="1">
      <alignment horizontal="center"/>
      <protection hidden="1"/>
    </xf>
    <xf numFmtId="9" fontId="3" fillId="5" borderId="4" xfId="0" applyNumberFormat="1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16" xfId="0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3" fillId="5" borderId="17" xfId="0" applyFont="1" applyFill="1" applyBorder="1" applyAlignment="1" applyProtection="1">
      <alignment horizontal="center"/>
      <protection hidden="1"/>
    </xf>
    <xf numFmtId="0" fontId="3" fillId="5" borderId="22" xfId="0" applyFont="1" applyFill="1" applyBorder="1" applyAlignment="1" applyProtection="1">
      <alignment horizontal="center"/>
      <protection hidden="1"/>
    </xf>
    <xf numFmtId="0" fontId="3" fillId="5" borderId="1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1" fontId="3" fillId="3" borderId="11" xfId="0" applyNumberFormat="1" applyFont="1" applyFill="1" applyBorder="1" applyAlignment="1" applyProtection="1">
      <alignment horizontal="center"/>
      <protection hidden="1"/>
    </xf>
    <xf numFmtId="164" fontId="3" fillId="3" borderId="19" xfId="0" applyNumberFormat="1" applyFont="1" applyFill="1" applyBorder="1" applyAlignment="1" applyProtection="1">
      <alignment horizontal="center"/>
      <protection hidden="1"/>
    </xf>
    <xf numFmtId="164" fontId="3" fillId="3" borderId="11" xfId="0" applyNumberFormat="1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9" fontId="3" fillId="3" borderId="0" xfId="1" applyFont="1" applyFill="1" applyBorder="1" applyAlignment="1" applyProtection="1">
      <alignment horizontal="center"/>
      <protection hidden="1"/>
    </xf>
    <xf numFmtId="9" fontId="3" fillId="3" borderId="13" xfId="1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/>
      <protection locked="0" hidden="1"/>
    </xf>
    <xf numFmtId="0" fontId="3" fillId="4" borderId="4" xfId="0" applyFont="1" applyFill="1" applyBorder="1" applyAlignment="1" applyProtection="1">
      <alignment horizontal="center"/>
      <protection hidden="1"/>
    </xf>
    <xf numFmtId="0" fontId="2" fillId="4" borderId="13" xfId="0" applyFont="1" applyFill="1" applyBorder="1" applyAlignment="1" applyProtection="1">
      <alignment horizontal="center"/>
      <protection locked="0" hidden="1"/>
    </xf>
    <xf numFmtId="0" fontId="3" fillId="4" borderId="13" xfId="0" applyFont="1" applyFill="1" applyBorder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1" fontId="4" fillId="6" borderId="23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5" xfId="0" applyFont="1" applyFill="1" applyBorder="1" applyAlignment="1" applyProtection="1">
      <alignment horizontal="left"/>
      <protection hidden="1"/>
    </xf>
    <xf numFmtId="1" fontId="3" fillId="3" borderId="4" xfId="0" applyNumberFormat="1" applyFont="1" applyFill="1" applyBorder="1" applyAlignment="1" applyProtection="1">
      <alignment horizontal="center"/>
      <protection hidden="1"/>
    </xf>
    <xf numFmtId="1" fontId="3" fillId="3" borderId="4" xfId="0" applyNumberFormat="1" applyFont="1" applyFill="1" applyBorder="1" applyAlignment="1" applyProtection="1">
      <protection hidden="1"/>
    </xf>
    <xf numFmtId="1" fontId="3" fillId="3" borderId="5" xfId="0" applyNumberFormat="1" applyFont="1" applyFill="1" applyBorder="1" applyAlignment="1" applyProtection="1">
      <protection hidden="1"/>
    </xf>
    <xf numFmtId="1" fontId="2" fillId="3" borderId="3" xfId="0" applyNumberFormat="1" applyFont="1" applyFill="1" applyBorder="1" applyAlignment="1" applyProtection="1">
      <protection hidden="1"/>
    </xf>
    <xf numFmtId="1" fontId="3" fillId="3" borderId="16" xfId="0" applyNumberFormat="1" applyFont="1" applyFill="1" applyBorder="1" applyAlignment="1" applyProtection="1">
      <protection hidden="1"/>
    </xf>
    <xf numFmtId="1" fontId="3" fillId="3" borderId="0" xfId="0" applyNumberFormat="1" applyFont="1" applyFill="1" applyBorder="1" applyAlignment="1" applyProtection="1">
      <alignment horizontal="right"/>
      <protection hidden="1"/>
    </xf>
    <xf numFmtId="1" fontId="3" fillId="3" borderId="0" xfId="0" applyNumberFormat="1" applyFont="1" applyFill="1" applyBorder="1" applyAlignment="1" applyProtection="1">
      <alignment horizontal="center" wrapText="1"/>
      <protection hidden="1"/>
    </xf>
    <xf numFmtId="1" fontId="4" fillId="3" borderId="17" xfId="0" applyNumberFormat="1" applyFont="1" applyFill="1" applyBorder="1" applyAlignment="1" applyProtection="1">
      <alignment horizontal="center" wrapText="1"/>
      <protection hidden="1"/>
    </xf>
    <xf numFmtId="1" fontId="2" fillId="3" borderId="16" xfId="0" applyNumberFormat="1" applyFont="1" applyFill="1" applyBorder="1" applyAlignment="1" applyProtection="1">
      <alignment horizontal="center"/>
      <protection hidden="1"/>
    </xf>
    <xf numFmtId="1" fontId="2" fillId="3" borderId="0" xfId="0" applyNumberFormat="1" applyFont="1" applyFill="1" applyBorder="1" applyAlignment="1" applyProtection="1">
      <alignment horizontal="center"/>
      <protection hidden="1"/>
    </xf>
    <xf numFmtId="1" fontId="2" fillId="3" borderId="17" xfId="0" applyNumberFormat="1" applyFont="1" applyFill="1" applyBorder="1" applyAlignment="1" applyProtection="1">
      <alignment horizontal="center"/>
      <protection hidden="1"/>
    </xf>
    <xf numFmtId="0" fontId="3" fillId="6" borderId="23" xfId="0" applyNumberFormat="1" applyFont="1" applyFill="1" applyBorder="1" applyAlignment="1" applyProtection="1">
      <alignment horizontal="center"/>
      <protection locked="0"/>
    </xf>
    <xf numFmtId="1" fontId="3" fillId="3" borderId="0" xfId="0" applyNumberFormat="1" applyFont="1" applyFill="1" applyBorder="1" applyAlignment="1" applyProtection="1">
      <alignment horizontal="center" vertical="top" wrapText="1"/>
      <protection hidden="1"/>
    </xf>
    <xf numFmtId="1" fontId="3" fillId="3" borderId="13" xfId="0" applyNumberFormat="1" applyFont="1" applyFill="1" applyBorder="1" applyAlignment="1" applyProtection="1">
      <alignment horizontal="left"/>
      <protection hidden="1"/>
    </xf>
    <xf numFmtId="0" fontId="0" fillId="3" borderId="13" xfId="0" applyFill="1" applyBorder="1" applyAlignment="1" applyProtection="1">
      <alignment horizontal="left"/>
      <protection hidden="1"/>
    </xf>
    <xf numFmtId="0" fontId="0" fillId="3" borderId="14" xfId="0" applyFill="1" applyBorder="1" applyAlignment="1" applyProtection="1">
      <alignment horizontal="left"/>
      <protection hidden="1"/>
    </xf>
    <xf numFmtId="1" fontId="6" fillId="6" borderId="23" xfId="0" applyNumberFormat="1" applyFont="1" applyFill="1" applyBorder="1" applyAlignment="1" applyProtection="1">
      <alignment horizontal="center"/>
      <protection locked="0"/>
    </xf>
    <xf numFmtId="1" fontId="5" fillId="3" borderId="3" xfId="0" applyNumberFormat="1" applyFont="1" applyFill="1" applyBorder="1" applyAlignment="1" applyProtection="1">
      <protection hidden="1"/>
    </xf>
    <xf numFmtId="1" fontId="7" fillId="3" borderId="4" xfId="0" applyNumberFormat="1" applyFont="1" applyFill="1" applyBorder="1" applyAlignment="1" applyProtection="1">
      <alignment horizontal="center"/>
      <protection hidden="1"/>
    </xf>
    <xf numFmtId="1" fontId="8" fillId="3" borderId="4" xfId="0" applyNumberFormat="1" applyFont="1" applyFill="1" applyBorder="1" applyAlignment="1" applyProtection="1">
      <alignment horizontal="center"/>
      <protection hidden="1"/>
    </xf>
    <xf numFmtId="1" fontId="3" fillId="3" borderId="5" xfId="0" applyNumberFormat="1" applyFont="1" applyFill="1" applyBorder="1" applyAlignment="1" applyProtection="1">
      <alignment horizontal="center"/>
      <protection hidden="1"/>
    </xf>
    <xf numFmtId="1" fontId="9" fillId="3" borderId="3" xfId="0" applyNumberFormat="1" applyFont="1" applyFill="1" applyBorder="1" applyAlignment="1" applyProtection="1">
      <alignment horizontal="center"/>
      <protection hidden="1"/>
    </xf>
    <xf numFmtId="1" fontId="8" fillId="6" borderId="23" xfId="0" applyNumberFormat="1" applyFont="1" applyFill="1" applyBorder="1" applyAlignment="1" applyProtection="1">
      <alignment horizontal="center"/>
      <protection locked="0"/>
    </xf>
    <xf numFmtId="164" fontId="3" fillId="3" borderId="17" xfId="0" applyNumberFormat="1" applyFont="1" applyFill="1" applyBorder="1" applyAlignment="1" applyProtection="1">
      <alignment horizontal="center"/>
      <protection hidden="1"/>
    </xf>
    <xf numFmtId="1" fontId="7" fillId="6" borderId="23" xfId="0" applyNumberFormat="1" applyFont="1" applyFill="1" applyBorder="1" applyAlignment="1" applyProtection="1">
      <alignment horizontal="center"/>
      <protection locked="0"/>
    </xf>
    <xf numFmtId="0" fontId="7" fillId="6" borderId="23" xfId="0" applyNumberFormat="1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protection hidden="1"/>
    </xf>
    <xf numFmtId="1" fontId="2" fillId="3" borderId="22" xfId="0" applyNumberFormat="1" applyFont="1" applyFill="1" applyBorder="1" applyAlignment="1" applyProtection="1">
      <alignment horizontal="center"/>
      <protection hidden="1"/>
    </xf>
    <xf numFmtId="1" fontId="3" fillId="3" borderId="23" xfId="0" applyNumberFormat="1" applyFont="1" applyFill="1" applyBorder="1" applyAlignment="1" applyProtection="1">
      <alignment horizontal="center"/>
      <protection hidden="1"/>
    </xf>
    <xf numFmtId="1" fontId="7" fillId="3" borderId="23" xfId="0" applyNumberFormat="1" applyFont="1" applyFill="1" applyBorder="1" applyAlignment="1" applyProtection="1">
      <alignment horizontal="center"/>
      <protection hidden="1"/>
    </xf>
    <xf numFmtId="1" fontId="8" fillId="3" borderId="23" xfId="0" applyNumberFormat="1" applyFont="1" applyFill="1" applyBorder="1" applyAlignment="1" applyProtection="1">
      <alignment horizontal="center"/>
      <protection hidden="1"/>
    </xf>
    <xf numFmtId="164" fontId="8" fillId="3" borderId="23" xfId="0" applyNumberFormat="1" applyFont="1" applyFill="1" applyBorder="1" applyAlignment="1" applyProtection="1">
      <alignment horizontal="center"/>
      <protection hidden="1"/>
    </xf>
    <xf numFmtId="1" fontId="6" fillId="3" borderId="7" xfId="0" applyNumberFormat="1" applyFont="1" applyFill="1" applyBorder="1" applyAlignment="1" applyProtection="1">
      <alignment horizontal="left"/>
      <protection hidden="1"/>
    </xf>
    <xf numFmtId="0" fontId="0" fillId="3" borderId="9" xfId="0" applyFill="1" applyBorder="1" applyAlignment="1" applyProtection="1">
      <alignment horizontal="left"/>
      <protection hidden="1"/>
    </xf>
    <xf numFmtId="0" fontId="0" fillId="3" borderId="8" xfId="0" applyFill="1" applyBorder="1" applyAlignment="1" applyProtection="1">
      <alignment horizontal="left"/>
      <protection hidden="1"/>
    </xf>
    <xf numFmtId="1" fontId="11" fillId="3" borderId="3" xfId="0" applyNumberFormat="1" applyFont="1" applyFill="1" applyBorder="1" applyAlignment="1" applyProtection="1">
      <alignment horizontal="left"/>
      <protection hidden="1"/>
    </xf>
    <xf numFmtId="0" fontId="0" fillId="3" borderId="4" xfId="0" applyFill="1" applyBorder="1" applyAlignment="1" applyProtection="1">
      <alignment horizontal="left"/>
      <protection hidden="1"/>
    </xf>
    <xf numFmtId="0" fontId="0" fillId="3" borderId="5" xfId="0" applyFill="1" applyBorder="1" applyAlignment="1" applyProtection="1">
      <alignment horizontal="left"/>
      <protection hidden="1"/>
    </xf>
    <xf numFmtId="1" fontId="3" fillId="3" borderId="0" xfId="0" applyNumberFormat="1" applyFont="1" applyFill="1" applyBorder="1" applyAlignment="1" applyProtection="1">
      <alignment textRotation="180"/>
      <protection hidden="1"/>
    </xf>
    <xf numFmtId="1" fontId="3" fillId="3" borderId="3" xfId="0" applyNumberFormat="1" applyFont="1" applyFill="1" applyBorder="1" applyAlignment="1" applyProtection="1">
      <protection hidden="1"/>
    </xf>
    <xf numFmtId="1" fontId="3" fillId="3" borderId="0" xfId="0" applyNumberFormat="1" applyFont="1" applyFill="1" applyBorder="1" applyAlignment="1" applyProtection="1">
      <protection hidden="1"/>
    </xf>
    <xf numFmtId="164" fontId="3" fillId="3" borderId="23" xfId="0" applyNumberFormat="1" applyFont="1" applyFill="1" applyBorder="1" applyAlignment="1" applyProtection="1">
      <alignment horizontal="center"/>
      <protection hidden="1"/>
    </xf>
    <xf numFmtId="1" fontId="3" fillId="3" borderId="13" xfId="0" applyNumberFormat="1" applyFont="1" applyFill="1" applyBorder="1" applyAlignment="1" applyProtection="1">
      <protection hidden="1"/>
    </xf>
    <xf numFmtId="9" fontId="3" fillId="3" borderId="3" xfId="1" applyFont="1" applyFill="1" applyBorder="1" applyAlignment="1" applyProtection="1">
      <alignment horizontal="center"/>
      <protection hidden="1"/>
    </xf>
    <xf numFmtId="164" fontId="3" fillId="5" borderId="0" xfId="0" applyNumberFormat="1" applyFont="1" applyFill="1" applyBorder="1" applyAlignment="1" applyProtection="1">
      <alignment horizontal="center"/>
      <protection hidden="1"/>
    </xf>
    <xf numFmtId="164" fontId="3" fillId="3" borderId="21" xfId="0" applyNumberFormat="1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16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17" xfId="0" applyFont="1" applyFill="1" applyBorder="1" applyAlignment="1" applyProtection="1">
      <alignment horizontal="center"/>
      <protection hidden="1"/>
    </xf>
    <xf numFmtId="2" fontId="3" fillId="3" borderId="17" xfId="0" applyNumberFormat="1" applyFont="1" applyFill="1" applyBorder="1" applyAlignment="1" applyProtection="1">
      <alignment horizontal="center"/>
      <protection hidden="1"/>
    </xf>
    <xf numFmtId="2" fontId="3" fillId="3" borderId="14" xfId="0" applyNumberFormat="1" applyFont="1" applyFill="1" applyBorder="1" applyAlignment="1" applyProtection="1">
      <alignment horizontal="center"/>
      <protection hidden="1"/>
    </xf>
    <xf numFmtId="2" fontId="3" fillId="3" borderId="5" xfId="0" applyNumberFormat="1" applyFont="1" applyFill="1" applyBorder="1" applyAlignment="1" applyProtection="1">
      <alignment horizontal="center"/>
      <protection hidden="1"/>
    </xf>
    <xf numFmtId="0" fontId="13" fillId="3" borderId="4" xfId="0" applyFont="1" applyFill="1" applyBorder="1" applyAlignment="1" applyProtection="1">
      <alignment horizontal="center"/>
      <protection hidden="1"/>
    </xf>
    <xf numFmtId="1" fontId="3" fillId="2" borderId="0" xfId="0" applyNumberFormat="1" applyFont="1" applyFill="1" applyAlignment="1" applyProtection="1">
      <alignment horizontal="center"/>
      <protection locked="0" hidden="1"/>
    </xf>
    <xf numFmtId="2" fontId="3" fillId="3" borderId="4" xfId="0" applyNumberFormat="1" applyFont="1" applyFill="1" applyBorder="1" applyAlignment="1" applyProtection="1">
      <alignment horizontal="center"/>
      <protection hidden="1"/>
    </xf>
    <xf numFmtId="2" fontId="3" fillId="3" borderId="0" xfId="0" applyNumberFormat="1" applyFont="1" applyFill="1" applyBorder="1" applyAlignment="1" applyProtection="1">
      <alignment horizontal="center"/>
      <protection hidden="1"/>
    </xf>
    <xf numFmtId="2" fontId="3" fillId="3" borderId="13" xfId="0" applyNumberFormat="1" applyFont="1" applyFill="1" applyBorder="1" applyAlignment="1" applyProtection="1">
      <alignment horizontal="center"/>
      <protection hidden="1"/>
    </xf>
    <xf numFmtId="9" fontId="3" fillId="3" borderId="24" xfId="1" applyFont="1" applyFill="1" applyBorder="1" applyAlignment="1" applyProtection="1">
      <alignment horizontal="center"/>
      <protection hidden="1"/>
    </xf>
    <xf numFmtId="9" fontId="3" fillId="3" borderId="25" xfId="1" applyFont="1" applyFill="1" applyBorder="1" applyAlignment="1" applyProtection="1">
      <alignment horizontal="center"/>
      <protection hidden="1"/>
    </xf>
    <xf numFmtId="164" fontId="3" fillId="3" borderId="25" xfId="0" applyNumberFormat="1" applyFont="1" applyFill="1" applyBorder="1" applyAlignment="1" applyProtection="1">
      <alignment horizontal="center"/>
      <protection hidden="1"/>
    </xf>
    <xf numFmtId="1" fontId="3" fillId="3" borderId="25" xfId="0" applyNumberFormat="1" applyFont="1" applyFill="1" applyBorder="1" applyAlignment="1" applyProtection="1">
      <alignment horizontal="center"/>
      <protection hidden="1"/>
    </xf>
    <xf numFmtId="1" fontId="3" fillId="3" borderId="26" xfId="0" applyNumberFormat="1" applyFont="1" applyFill="1" applyBorder="1" applyAlignment="1" applyProtection="1">
      <alignment horizontal="center"/>
      <protection hidden="1"/>
    </xf>
    <xf numFmtId="0" fontId="3" fillId="3" borderId="22" xfId="0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1" fontId="3" fillId="2" borderId="0" xfId="0" applyNumberFormat="1" applyFont="1" applyFill="1" applyAlignment="1" applyProtection="1">
      <protection hidden="1"/>
    </xf>
    <xf numFmtId="1" fontId="3" fillId="2" borderId="0" xfId="0" applyNumberFormat="1" applyFont="1" applyFill="1" applyAlignment="1" applyProtection="1">
      <alignment horizontal="right"/>
      <protection hidden="1"/>
    </xf>
    <xf numFmtId="1" fontId="2" fillId="2" borderId="0" xfId="0" applyNumberFormat="1" applyFont="1" applyFill="1" applyAlignment="1" applyProtection="1">
      <protection hidden="1"/>
    </xf>
    <xf numFmtId="1" fontId="0" fillId="2" borderId="0" xfId="0" applyNumberFormat="1" applyFill="1" applyAlignment="1" applyProtection="1">
      <alignment horizontal="center"/>
      <protection hidden="1"/>
    </xf>
    <xf numFmtId="1" fontId="0" fillId="2" borderId="0" xfId="0" applyNumberFormat="1" applyFill="1" applyAlignment="1" applyProtection="1">
      <protection hidden="1"/>
    </xf>
    <xf numFmtId="1" fontId="3" fillId="2" borderId="0" xfId="0" applyNumberFormat="1" applyFont="1" applyFill="1" applyAlignment="1" applyProtection="1">
      <alignment horizontal="left"/>
      <protection hidden="1"/>
    </xf>
    <xf numFmtId="1" fontId="5" fillId="2" borderId="0" xfId="0" applyNumberFormat="1" applyFont="1" applyFill="1" applyAlignment="1" applyProtection="1">
      <alignment horizontal="right"/>
      <protection hidden="1"/>
    </xf>
    <xf numFmtId="1" fontId="2" fillId="2" borderId="0" xfId="0" applyNumberFormat="1" applyFont="1" applyFill="1" applyAlignment="1" applyProtection="1">
      <alignment horizontal="left"/>
      <protection hidden="1"/>
    </xf>
    <xf numFmtId="1" fontId="0" fillId="2" borderId="0" xfId="0" applyNumberFormat="1" applyFill="1" applyAlignment="1" applyProtection="1">
      <alignment horizontal="left"/>
      <protection hidden="1"/>
    </xf>
    <xf numFmtId="1" fontId="2" fillId="2" borderId="0" xfId="0" applyNumberFormat="1" applyFont="1" applyFill="1" applyAlignment="1" applyProtection="1">
      <alignment horizontal="center" textRotation="90"/>
      <protection hidden="1"/>
    </xf>
    <xf numFmtId="0" fontId="0" fillId="2" borderId="0" xfId="0" applyFill="1" applyProtection="1">
      <protection hidden="1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1" fontId="9" fillId="2" borderId="0" xfId="0" applyNumberFormat="1" applyFont="1" applyFill="1" applyAlignment="1" applyProtection="1">
      <alignment horizontal="right"/>
      <protection hidden="1"/>
    </xf>
    <xf numFmtId="1" fontId="10" fillId="2" borderId="0" xfId="0" applyNumberFormat="1" applyFont="1" applyFill="1" applyAlignment="1" applyProtection="1">
      <protection hidden="1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1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0" fontId="6" fillId="2" borderId="0" xfId="0" applyFont="1" applyFill="1" applyAlignment="1" applyProtection="1">
      <alignment horizontal="center"/>
      <protection hidden="1"/>
    </xf>
    <xf numFmtId="0" fontId="3" fillId="0" borderId="0" xfId="0" applyFont="1"/>
    <xf numFmtId="2" fontId="0" fillId="0" borderId="0" xfId="0" applyNumberFormat="1"/>
  </cellXfs>
  <cellStyles count="2">
    <cellStyle name="Normal" xfId="0" builtinId="0"/>
    <cellStyle name="Percent" xfId="1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Elevator Torque (oz-in) vs. Deflection</a:t>
            </a:r>
          </a:p>
        </c:rich>
      </c:tx>
      <c:layout>
        <c:manualLayout>
          <c:xMode val="edge"/>
          <c:yMode val="edge"/>
          <c:x val="0.12132352941176472"/>
          <c:y val="1.61812809127253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808823529411778"/>
          <c:y val="0.18123034622252432"/>
          <c:w val="0.76102941176470651"/>
          <c:h val="0.67961379833446622"/>
        </c:manualLayout>
      </c:layout>
      <c:scatterChart>
        <c:scatterStyle val="smoothMarker"/>
        <c:ser>
          <c:idx val="0"/>
          <c:order val="0"/>
          <c:tx>
            <c:strRef>
              <c:f>'Simple Setup'!$Y$3</c:f>
              <c:strCache>
                <c:ptCount val="1"/>
                <c:pt idx="0">
                  <c:v>85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'Simple Setup'!$P$13:$P$19</c:f>
              <c:numCache>
                <c:formatCode>0</c:formatCode>
                <c:ptCount val="7"/>
                <c:pt idx="0">
                  <c:v>25</c:v>
                </c:pt>
                <c:pt idx="1">
                  <c:v>21.25</c:v>
                </c:pt>
                <c:pt idx="2">
                  <c:v>17.5</c:v>
                </c:pt>
                <c:pt idx="3">
                  <c:v>13.75</c:v>
                </c:pt>
                <c:pt idx="4">
                  <c:v>10</c:v>
                </c:pt>
                <c:pt idx="5">
                  <c:v>6.25</c:v>
                </c:pt>
                <c:pt idx="6">
                  <c:v>2.5</c:v>
                </c:pt>
              </c:numCache>
            </c:numRef>
          </c:xVal>
          <c:yVal>
            <c:numRef>
              <c:f>'Simple Setup'!$Y$13:$Y$19</c:f>
              <c:numCache>
                <c:formatCode>0</c:formatCode>
                <c:ptCount val="7"/>
                <c:pt idx="0">
                  <c:v>19.47263192838134</c:v>
                </c:pt>
                <c:pt idx="1">
                  <c:v>17.260216418269017</c:v>
                </c:pt>
                <c:pt idx="2">
                  <c:v>14.673954295863172</c:v>
                </c:pt>
                <c:pt idx="3">
                  <c:v>11.807493910606407</c:v>
                </c:pt>
                <c:pt idx="4">
                  <c:v>8.735696467223681</c:v>
                </c:pt>
                <c:pt idx="5">
                  <c:v>5.521781892679793</c:v>
                </c:pt>
                <c:pt idx="6">
                  <c:v>2.2218684154888182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'Simple Setup'!$W$3</c:f>
              <c:strCache>
                <c:ptCount val="1"/>
                <c:pt idx="0">
                  <c:v>64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'Simple Setup'!$P$13:$P$19</c:f>
              <c:numCache>
                <c:formatCode>0</c:formatCode>
                <c:ptCount val="7"/>
                <c:pt idx="0">
                  <c:v>25</c:v>
                </c:pt>
                <c:pt idx="1">
                  <c:v>21.25</c:v>
                </c:pt>
                <c:pt idx="2">
                  <c:v>17.5</c:v>
                </c:pt>
                <c:pt idx="3">
                  <c:v>13.75</c:v>
                </c:pt>
                <c:pt idx="4">
                  <c:v>10</c:v>
                </c:pt>
                <c:pt idx="5">
                  <c:v>6.25</c:v>
                </c:pt>
                <c:pt idx="6">
                  <c:v>2.5</c:v>
                </c:pt>
              </c:numCache>
            </c:numRef>
          </c:xVal>
          <c:yVal>
            <c:numRef>
              <c:f>'Simple Setup'!$W$13:$W$19</c:f>
              <c:numCache>
                <c:formatCode>0</c:formatCode>
                <c:ptCount val="7"/>
                <c:pt idx="0">
                  <c:v>10.953355459714503</c:v>
                </c:pt>
                <c:pt idx="1">
                  <c:v>9.7088717352763219</c:v>
                </c:pt>
                <c:pt idx="2">
                  <c:v>8.2540992914230333</c:v>
                </c:pt>
                <c:pt idx="3">
                  <c:v>6.6417153247161043</c:v>
                </c:pt>
                <c:pt idx="4">
                  <c:v>4.9138292628133202</c:v>
                </c:pt>
                <c:pt idx="5">
                  <c:v>3.1060023146323834</c:v>
                </c:pt>
                <c:pt idx="6">
                  <c:v>1.24980098371246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'Simple Setup'!$U$3</c:f>
              <c:strCache>
                <c:ptCount val="1"/>
                <c:pt idx="0">
                  <c:v>43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'Simple Setup'!$P$13:$P$19</c:f>
              <c:numCache>
                <c:formatCode>0</c:formatCode>
                <c:ptCount val="7"/>
                <c:pt idx="0">
                  <c:v>25</c:v>
                </c:pt>
                <c:pt idx="1">
                  <c:v>21.25</c:v>
                </c:pt>
                <c:pt idx="2">
                  <c:v>17.5</c:v>
                </c:pt>
                <c:pt idx="3">
                  <c:v>13.75</c:v>
                </c:pt>
                <c:pt idx="4">
                  <c:v>10</c:v>
                </c:pt>
                <c:pt idx="5">
                  <c:v>6.25</c:v>
                </c:pt>
                <c:pt idx="6">
                  <c:v>2.5</c:v>
                </c:pt>
              </c:numCache>
            </c:numRef>
          </c:xVal>
          <c:yVal>
            <c:numRef>
              <c:f>'Simple Setup'!$U$13:$U$19</c:f>
              <c:numCache>
                <c:formatCode>0</c:formatCode>
                <c:ptCount val="7"/>
                <c:pt idx="0">
                  <c:v>4.8681579820953349</c:v>
                </c:pt>
                <c:pt idx="1">
                  <c:v>4.3150541045672544</c:v>
                </c:pt>
                <c:pt idx="2">
                  <c:v>3.6684885739657931</c:v>
                </c:pt>
                <c:pt idx="3">
                  <c:v>2.9518734776516018</c:v>
                </c:pt>
                <c:pt idx="4">
                  <c:v>2.1839241168059202</c:v>
                </c:pt>
                <c:pt idx="5">
                  <c:v>1.3804454731699483</c:v>
                </c:pt>
                <c:pt idx="6">
                  <c:v>0.55546710387220455</c:v>
                </c:pt>
              </c:numCache>
            </c:numRef>
          </c:yVal>
          <c:smooth val="1"/>
        </c:ser>
        <c:axId val="89747456"/>
        <c:axId val="89749760"/>
      </c:scatterChart>
      <c:valAx>
        <c:axId val="8974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Surface Deflection (degrees)</a:t>
                </a:r>
              </a:p>
            </c:rich>
          </c:tx>
          <c:layout>
            <c:manualLayout>
              <c:xMode val="edge"/>
              <c:yMode val="edge"/>
              <c:x val="0.27573529411764708"/>
              <c:y val="0.9190967558428013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49760"/>
        <c:crosses val="autoZero"/>
        <c:crossBetween val="midCat"/>
      </c:valAx>
      <c:valAx>
        <c:axId val="89749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47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73529411764708"/>
          <c:y val="9.3851429293807312E-2"/>
          <c:w val="0.52573529411764708"/>
          <c:h val="7.1197636015991758E-2"/>
        </c:manualLayout>
      </c:layout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Aileron Torque (oz-in) vs. Deflection</a:t>
            </a:r>
          </a:p>
        </c:rich>
      </c:tx>
      <c:layout>
        <c:manualLayout>
          <c:xMode val="edge"/>
          <c:yMode val="edge"/>
          <c:x val="0.12867647058823528"/>
          <c:y val="1.61812809127253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808823529411778"/>
          <c:y val="0.18123034622252432"/>
          <c:w val="0.76102941176470651"/>
          <c:h val="0.67961379833446622"/>
        </c:manualLayout>
      </c:layout>
      <c:scatterChart>
        <c:scatterStyle val="smoothMarker"/>
        <c:ser>
          <c:idx val="0"/>
          <c:order val="0"/>
          <c:tx>
            <c:strRef>
              <c:f>'Simple Setup'!$Y$3</c:f>
              <c:strCache>
                <c:ptCount val="1"/>
                <c:pt idx="0">
                  <c:v>85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'Simple Setup'!$P$6:$P$12</c:f>
              <c:numCache>
                <c:formatCode>0</c:formatCode>
                <c:ptCount val="7"/>
                <c:pt idx="0">
                  <c:v>25</c:v>
                </c:pt>
                <c:pt idx="1">
                  <c:v>21.25</c:v>
                </c:pt>
                <c:pt idx="2">
                  <c:v>17.5</c:v>
                </c:pt>
                <c:pt idx="3">
                  <c:v>13.75</c:v>
                </c:pt>
                <c:pt idx="4">
                  <c:v>10</c:v>
                </c:pt>
                <c:pt idx="5">
                  <c:v>6.25</c:v>
                </c:pt>
                <c:pt idx="6">
                  <c:v>2.5</c:v>
                </c:pt>
              </c:numCache>
            </c:numRef>
          </c:xVal>
          <c:yVal>
            <c:numRef>
              <c:f>'Simple Setup'!$Y$6:$Y$12</c:f>
              <c:numCache>
                <c:formatCode>0</c:formatCode>
                <c:ptCount val="7"/>
                <c:pt idx="0">
                  <c:v>28.624768934720578</c:v>
                </c:pt>
                <c:pt idx="1">
                  <c:v>25.372518134855465</c:v>
                </c:pt>
                <c:pt idx="2">
                  <c:v>21.570712814918874</c:v>
                </c:pt>
                <c:pt idx="3">
                  <c:v>17.357016048591429</c:v>
                </c:pt>
                <c:pt idx="4">
                  <c:v>12.84147380681882</c:v>
                </c:pt>
                <c:pt idx="5">
                  <c:v>8.1170193822393006</c:v>
                </c:pt>
                <c:pt idx="6">
                  <c:v>3.266146570768564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'Simple Setup'!$W$3</c:f>
              <c:strCache>
                <c:ptCount val="1"/>
                <c:pt idx="0">
                  <c:v>64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'Simple Setup'!$P$6:$P$12</c:f>
              <c:numCache>
                <c:formatCode>0</c:formatCode>
                <c:ptCount val="7"/>
                <c:pt idx="0">
                  <c:v>25</c:v>
                </c:pt>
                <c:pt idx="1">
                  <c:v>21.25</c:v>
                </c:pt>
                <c:pt idx="2">
                  <c:v>17.5</c:v>
                </c:pt>
                <c:pt idx="3">
                  <c:v>13.75</c:v>
                </c:pt>
                <c:pt idx="4">
                  <c:v>10</c:v>
                </c:pt>
                <c:pt idx="5">
                  <c:v>6.25</c:v>
                </c:pt>
                <c:pt idx="6">
                  <c:v>2.5</c:v>
                </c:pt>
              </c:numCache>
            </c:numRef>
          </c:xVal>
          <c:yVal>
            <c:numRef>
              <c:f>'Simple Setup'!$W$6:$W$12</c:f>
              <c:numCache>
                <c:formatCode>0</c:formatCode>
                <c:ptCount val="7"/>
                <c:pt idx="0">
                  <c:v>16.101432525780325</c:v>
                </c:pt>
                <c:pt idx="1">
                  <c:v>14.272041450856198</c:v>
                </c:pt>
                <c:pt idx="2">
                  <c:v>12.133525958391868</c:v>
                </c:pt>
                <c:pt idx="3">
                  <c:v>9.7633215273326766</c:v>
                </c:pt>
                <c:pt idx="4">
                  <c:v>7.2233290163355841</c:v>
                </c:pt>
                <c:pt idx="5">
                  <c:v>4.5658234025096069</c:v>
                </c:pt>
                <c:pt idx="6">
                  <c:v>1.8372074460573171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'Simple Setup'!$U$3</c:f>
              <c:strCache>
                <c:ptCount val="1"/>
                <c:pt idx="0">
                  <c:v>43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'Simple Setup'!$P$6:$P$12</c:f>
              <c:numCache>
                <c:formatCode>0</c:formatCode>
                <c:ptCount val="7"/>
                <c:pt idx="0">
                  <c:v>25</c:v>
                </c:pt>
                <c:pt idx="1">
                  <c:v>21.25</c:v>
                </c:pt>
                <c:pt idx="2">
                  <c:v>17.5</c:v>
                </c:pt>
                <c:pt idx="3">
                  <c:v>13.75</c:v>
                </c:pt>
                <c:pt idx="4">
                  <c:v>10</c:v>
                </c:pt>
                <c:pt idx="5">
                  <c:v>6.25</c:v>
                </c:pt>
                <c:pt idx="6">
                  <c:v>2.5</c:v>
                </c:pt>
              </c:numCache>
            </c:numRef>
          </c:xVal>
          <c:yVal>
            <c:numRef>
              <c:f>'Simple Setup'!$U$6:$U$12</c:f>
              <c:numCache>
                <c:formatCode>0</c:formatCode>
                <c:ptCount val="7"/>
                <c:pt idx="0">
                  <c:v>7.1561922336801445</c:v>
                </c:pt>
                <c:pt idx="1">
                  <c:v>6.3431295337138662</c:v>
                </c:pt>
                <c:pt idx="2">
                  <c:v>5.3926782037297185</c:v>
                </c:pt>
                <c:pt idx="3">
                  <c:v>4.3392540121478573</c:v>
                </c:pt>
                <c:pt idx="4">
                  <c:v>3.2103684517047051</c:v>
                </c:pt>
                <c:pt idx="5">
                  <c:v>2.0292548455598252</c:v>
                </c:pt>
                <c:pt idx="6">
                  <c:v>0.81653664269214099</c:v>
                </c:pt>
              </c:numCache>
            </c:numRef>
          </c:yVal>
          <c:smooth val="1"/>
        </c:ser>
        <c:axId val="89767296"/>
        <c:axId val="89929216"/>
      </c:scatterChart>
      <c:valAx>
        <c:axId val="89767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Surface Deflection (degrees)</a:t>
                </a:r>
              </a:p>
            </c:rich>
          </c:tx>
          <c:layout>
            <c:manualLayout>
              <c:xMode val="edge"/>
              <c:yMode val="edge"/>
              <c:x val="0.27573529411764708"/>
              <c:y val="0.9190967558428013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29216"/>
        <c:crosses val="autoZero"/>
        <c:crossBetween val="midCat"/>
      </c:valAx>
      <c:valAx>
        <c:axId val="89929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72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73529411764708"/>
          <c:y val="9.3851429293807312E-2"/>
          <c:w val="0.52573529411764708"/>
          <c:h val="7.1197636015991758E-2"/>
        </c:manualLayout>
      </c:layout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Rudder Torque (oz-in) vs. Deflection</a:t>
            </a:r>
          </a:p>
        </c:rich>
      </c:tx>
      <c:layout>
        <c:manualLayout>
          <c:xMode val="edge"/>
          <c:yMode val="edge"/>
          <c:x val="0.12867647058823528"/>
          <c:y val="1.61812809127253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808823529411778"/>
          <c:y val="0.18123034622252432"/>
          <c:w val="0.76102941176470651"/>
          <c:h val="0.67961379833446622"/>
        </c:manualLayout>
      </c:layout>
      <c:scatterChart>
        <c:scatterStyle val="smoothMarker"/>
        <c:ser>
          <c:idx val="0"/>
          <c:order val="0"/>
          <c:tx>
            <c:strRef>
              <c:f>'Simple Setup'!$Y$3</c:f>
              <c:strCache>
                <c:ptCount val="1"/>
                <c:pt idx="0">
                  <c:v>85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'Simple Setup'!$P$20:$P$26</c:f>
              <c:numCache>
                <c:formatCode>0</c:formatCode>
                <c:ptCount val="7"/>
                <c:pt idx="0">
                  <c:v>35</c:v>
                </c:pt>
                <c:pt idx="1">
                  <c:v>29.75</c:v>
                </c:pt>
                <c:pt idx="2">
                  <c:v>24.5</c:v>
                </c:pt>
                <c:pt idx="3">
                  <c:v>19.25</c:v>
                </c:pt>
                <c:pt idx="4">
                  <c:v>14</c:v>
                </c:pt>
                <c:pt idx="5">
                  <c:v>8.75</c:v>
                </c:pt>
                <c:pt idx="6">
                  <c:v>3.5</c:v>
                </c:pt>
              </c:numCache>
            </c:numRef>
          </c:xVal>
          <c:yVal>
            <c:numRef>
              <c:f>'Simple Setup'!$Y$20:$Y$26</c:f>
              <c:numCache>
                <c:formatCode>0</c:formatCode>
                <c:ptCount val="7"/>
                <c:pt idx="0">
                  <c:v>30.523339690895135</c:v>
                </c:pt>
                <c:pt idx="1">
                  <c:v>29.026299495139021</c:v>
                </c:pt>
                <c:pt idx="2">
                  <c:v>25.732852951102533</c:v>
                </c:pt>
                <c:pt idx="3">
                  <c:v>21.26329807805115</c:v>
                </c:pt>
                <c:pt idx="4">
                  <c:v>16.001744002756908</c:v>
                </c:pt>
                <c:pt idx="5">
                  <c:v>10.220315591776867</c:v>
                </c:pt>
                <c:pt idx="6">
                  <c:v>4.134047753960834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'Simple Setup'!$W$3</c:f>
              <c:strCache>
                <c:ptCount val="1"/>
                <c:pt idx="0">
                  <c:v>64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'Simple Setup'!$P$20:$P$26</c:f>
              <c:numCache>
                <c:formatCode>0</c:formatCode>
                <c:ptCount val="7"/>
                <c:pt idx="0">
                  <c:v>35</c:v>
                </c:pt>
                <c:pt idx="1">
                  <c:v>29.75</c:v>
                </c:pt>
                <c:pt idx="2">
                  <c:v>24.5</c:v>
                </c:pt>
                <c:pt idx="3">
                  <c:v>19.25</c:v>
                </c:pt>
                <c:pt idx="4">
                  <c:v>14</c:v>
                </c:pt>
                <c:pt idx="5">
                  <c:v>8.75</c:v>
                </c:pt>
                <c:pt idx="6">
                  <c:v>3.5</c:v>
                </c:pt>
              </c:numCache>
            </c:numRef>
          </c:xVal>
          <c:yVal>
            <c:numRef>
              <c:f>'Simple Setup'!$W$20:$W$26</c:f>
              <c:numCache>
                <c:formatCode>0</c:formatCode>
                <c:ptCount val="7"/>
                <c:pt idx="0">
                  <c:v>17.169378576128512</c:v>
                </c:pt>
                <c:pt idx="1">
                  <c:v>16.327293466015696</c:v>
                </c:pt>
                <c:pt idx="2">
                  <c:v>14.474729784995178</c:v>
                </c:pt>
                <c:pt idx="3">
                  <c:v>11.960605168903774</c:v>
                </c:pt>
                <c:pt idx="4">
                  <c:v>9.0009810015507608</c:v>
                </c:pt>
                <c:pt idx="5">
                  <c:v>5.7489275203744876</c:v>
                </c:pt>
                <c:pt idx="6">
                  <c:v>2.3254018616029688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'Simple Setup'!$U$3</c:f>
              <c:strCache>
                <c:ptCount val="1"/>
                <c:pt idx="0">
                  <c:v>43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'Simple Setup'!$P$20:$P$26</c:f>
              <c:numCache>
                <c:formatCode>0</c:formatCode>
                <c:ptCount val="7"/>
                <c:pt idx="0">
                  <c:v>35</c:v>
                </c:pt>
                <c:pt idx="1">
                  <c:v>29.75</c:v>
                </c:pt>
                <c:pt idx="2">
                  <c:v>24.5</c:v>
                </c:pt>
                <c:pt idx="3">
                  <c:v>19.25</c:v>
                </c:pt>
                <c:pt idx="4">
                  <c:v>14</c:v>
                </c:pt>
                <c:pt idx="5">
                  <c:v>8.75</c:v>
                </c:pt>
                <c:pt idx="6">
                  <c:v>3.5</c:v>
                </c:pt>
              </c:numCache>
            </c:numRef>
          </c:xVal>
          <c:yVal>
            <c:numRef>
              <c:f>'Simple Setup'!$U$20:$U$26</c:f>
              <c:numCache>
                <c:formatCode>0</c:formatCode>
                <c:ptCount val="7"/>
                <c:pt idx="0">
                  <c:v>7.6308349227237837</c:v>
                </c:pt>
                <c:pt idx="1">
                  <c:v>7.2565748737847553</c:v>
                </c:pt>
                <c:pt idx="2">
                  <c:v>6.4332132377756333</c:v>
                </c:pt>
                <c:pt idx="3">
                  <c:v>5.3158245195127876</c:v>
                </c:pt>
                <c:pt idx="4">
                  <c:v>4.000436000689227</c:v>
                </c:pt>
                <c:pt idx="5">
                  <c:v>2.5550788979442167</c:v>
                </c:pt>
                <c:pt idx="6">
                  <c:v>1.0335119384902085</c:v>
                </c:pt>
              </c:numCache>
            </c:numRef>
          </c:yVal>
          <c:smooth val="1"/>
        </c:ser>
        <c:axId val="89975424"/>
        <c:axId val="89985792"/>
      </c:scatterChart>
      <c:valAx>
        <c:axId val="89975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Surface Deflection (degrees)</a:t>
                </a:r>
              </a:p>
            </c:rich>
          </c:tx>
          <c:layout>
            <c:manualLayout>
              <c:xMode val="edge"/>
              <c:yMode val="edge"/>
              <c:x val="0.27573529411764708"/>
              <c:y val="0.9190967558428013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85792"/>
        <c:crosses val="autoZero"/>
        <c:crossBetween val="midCat"/>
      </c:valAx>
      <c:valAx>
        <c:axId val="89985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754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73529411764708"/>
          <c:y val="9.3851429293807312E-2"/>
          <c:w val="0.52573529411764708"/>
          <c:h val="7.1197636015991758E-2"/>
        </c:manualLayout>
      </c:layout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381270903010041"/>
          <c:y val="0.12550607287449403"/>
          <c:w val="0.78260869565217472"/>
          <c:h val="0.6842105263157896"/>
        </c:manualLayout>
      </c:layout>
      <c:scatterChart>
        <c:scatterStyle val="smoothMarker"/>
        <c:ser>
          <c:idx val="0"/>
          <c:order val="0"/>
          <c:tx>
            <c:v>Rudder+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Differential'!$Q$22:$Q$29</c:f>
              <c:numCache>
                <c:formatCode>0</c:formatCode>
                <c:ptCount val="8"/>
                <c:pt idx="0">
                  <c:v>30</c:v>
                </c:pt>
                <c:pt idx="1">
                  <c:v>26.1</c:v>
                </c:pt>
                <c:pt idx="2">
                  <c:v>22.200000000000003</c:v>
                </c:pt>
                <c:pt idx="3">
                  <c:v>18.300000000000004</c:v>
                </c:pt>
                <c:pt idx="4">
                  <c:v>14.400000000000004</c:v>
                </c:pt>
                <c:pt idx="5">
                  <c:v>10.500000000000004</c:v>
                </c:pt>
                <c:pt idx="6">
                  <c:v>6.6000000000000032</c:v>
                </c:pt>
                <c:pt idx="7">
                  <c:v>2.7000000000000028</c:v>
                </c:pt>
              </c:numCache>
            </c:numRef>
          </c:xVal>
          <c:yVal>
            <c:numRef>
              <c:f>'Offset &amp; Differential'!$Z$22:$Z$29</c:f>
              <c:numCache>
                <c:formatCode>0</c:formatCode>
                <c:ptCount val="8"/>
                <c:pt idx="0">
                  <c:v>86.446863784911272</c:v>
                </c:pt>
                <c:pt idx="1">
                  <c:v>111.66300379730545</c:v>
                </c:pt>
                <c:pt idx="2">
                  <c:v>112.22399549103875</c:v>
                </c:pt>
                <c:pt idx="3">
                  <c:v>101.55975883372236</c:v>
                </c:pt>
                <c:pt idx="4">
                  <c:v>84.578530244352521</c:v>
                </c:pt>
                <c:pt idx="5">
                  <c:v>63.822346339949448</c:v>
                </c:pt>
                <c:pt idx="6">
                  <c:v>40.865863571879316</c:v>
                </c:pt>
                <c:pt idx="7">
                  <c:v>16.819922254123167</c:v>
                </c:pt>
              </c:numCache>
            </c:numRef>
          </c:yVal>
          <c:smooth val="1"/>
        </c:ser>
        <c:ser>
          <c:idx val="1"/>
          <c:order val="1"/>
          <c:tx>
            <c:v>Rudder-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Differential'!$AC$22:$AC$29</c:f>
              <c:numCache>
                <c:formatCode>0</c:formatCode>
                <c:ptCount val="8"/>
                <c:pt idx="0">
                  <c:v>30</c:v>
                </c:pt>
                <c:pt idx="1">
                  <c:v>26.1</c:v>
                </c:pt>
                <c:pt idx="2">
                  <c:v>22.200000000000003</c:v>
                </c:pt>
                <c:pt idx="3">
                  <c:v>18.300000000000004</c:v>
                </c:pt>
                <c:pt idx="4">
                  <c:v>14.400000000000004</c:v>
                </c:pt>
                <c:pt idx="5">
                  <c:v>10.500000000000004</c:v>
                </c:pt>
                <c:pt idx="6">
                  <c:v>6.6000000000000032</c:v>
                </c:pt>
                <c:pt idx="7">
                  <c:v>2.7000000000000028</c:v>
                </c:pt>
              </c:numCache>
            </c:numRef>
          </c:xVal>
          <c:yVal>
            <c:numRef>
              <c:f>'Offset &amp; Differential'!$AL$22:$AL$29</c:f>
              <c:numCache>
                <c:formatCode>0</c:formatCode>
                <c:ptCount val="8"/>
                <c:pt idx="0">
                  <c:v>111.85146076308691</c:v>
                </c:pt>
                <c:pt idx="1">
                  <c:v>114.85781143771695</c:v>
                </c:pt>
                <c:pt idx="2">
                  <c:v>109.11872744533241</c:v>
                </c:pt>
                <c:pt idx="3">
                  <c:v>97.338062341447142</c:v>
                </c:pt>
                <c:pt idx="4">
                  <c:v>81.157489336278246</c:v>
                </c:pt>
                <c:pt idx="5">
                  <c:v>61.734306046328875</c:v>
                </c:pt>
                <c:pt idx="6">
                  <c:v>39.97703844633304</c:v>
                </c:pt>
                <c:pt idx="7">
                  <c:v>16.665820509631622</c:v>
                </c:pt>
              </c:numCache>
            </c:numRef>
          </c:yVal>
          <c:smooth val="1"/>
        </c:ser>
        <c:axId val="99059200"/>
        <c:axId val="99061120"/>
      </c:scatterChart>
      <c:valAx>
        <c:axId val="99059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Surface Deflection (degrees)</a:t>
                </a:r>
              </a:p>
            </c:rich>
          </c:tx>
          <c:layout>
            <c:manualLayout>
              <c:xMode val="edge"/>
              <c:yMode val="edge"/>
              <c:x val="0.28428093645484986"/>
              <c:y val="0.8987854251012145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061120"/>
        <c:crosses val="autoZero"/>
        <c:crossBetween val="midCat"/>
      </c:valAx>
      <c:valAx>
        <c:axId val="99061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0592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62541806020081"/>
          <c:y val="2.0242914979757092E-2"/>
          <c:w val="0.49163879598662241"/>
          <c:h val="8.097165991902831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374581939799331"/>
          <c:y val="0.12550607287449403"/>
          <c:w val="0.8026755852842814"/>
          <c:h val="0.6842105263157896"/>
        </c:manualLayout>
      </c:layout>
      <c:scatterChart>
        <c:scatterStyle val="smoothMarker"/>
        <c:ser>
          <c:idx val="0"/>
          <c:order val="0"/>
          <c:tx>
            <c:v>Elevator+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Differential'!$Q$14:$Q$21</c:f>
              <c:numCache>
                <c:formatCode>0</c:formatCode>
                <c:ptCount val="8"/>
                <c:pt idx="0">
                  <c:v>25</c:v>
                </c:pt>
                <c:pt idx="1">
                  <c:v>21.75</c:v>
                </c:pt>
                <c:pt idx="2">
                  <c:v>18.5</c:v>
                </c:pt>
                <c:pt idx="3">
                  <c:v>15.25</c:v>
                </c:pt>
                <c:pt idx="4">
                  <c:v>12</c:v>
                </c:pt>
                <c:pt idx="5">
                  <c:v>8.75</c:v>
                </c:pt>
                <c:pt idx="6">
                  <c:v>5.5</c:v>
                </c:pt>
                <c:pt idx="7">
                  <c:v>2.25</c:v>
                </c:pt>
              </c:numCache>
            </c:numRef>
          </c:xVal>
          <c:yVal>
            <c:numRef>
              <c:f>'Offset &amp; Differential'!$Z$14:$Z$21</c:f>
              <c:numCache>
                <c:formatCode>0</c:formatCode>
                <c:ptCount val="8"/>
                <c:pt idx="0">
                  <c:v>45.605123675170383</c:v>
                </c:pt>
                <c:pt idx="1">
                  <c:v>44.972742096895388</c:v>
                </c:pt>
                <c:pt idx="2">
                  <c:v>41.648662566253876</c:v>
                </c:pt>
                <c:pt idx="3">
                  <c:v>36.465614040790662</c:v>
                </c:pt>
                <c:pt idx="4">
                  <c:v>29.958386699835433</c:v>
                </c:pt>
                <c:pt idx="5">
                  <c:v>22.512023107583765</c:v>
                </c:pt>
                <c:pt idx="6">
                  <c:v>14.428676290447106</c:v>
                </c:pt>
                <c:pt idx="7">
                  <c:v>5.9632549783729498</c:v>
                </c:pt>
              </c:numCache>
            </c:numRef>
          </c:yVal>
          <c:smooth val="1"/>
        </c:ser>
        <c:ser>
          <c:idx val="1"/>
          <c:order val="1"/>
          <c:tx>
            <c:v>Elevator-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Differential'!$AC$14:$AC$21</c:f>
              <c:numCache>
                <c:formatCode>0</c:formatCode>
                <c:ptCount val="8"/>
                <c:pt idx="0">
                  <c:v>25</c:v>
                </c:pt>
                <c:pt idx="1">
                  <c:v>21.75</c:v>
                </c:pt>
                <c:pt idx="2">
                  <c:v>18.5</c:v>
                </c:pt>
                <c:pt idx="3">
                  <c:v>15.25</c:v>
                </c:pt>
                <c:pt idx="4">
                  <c:v>12</c:v>
                </c:pt>
                <c:pt idx="5">
                  <c:v>8.75</c:v>
                </c:pt>
                <c:pt idx="6">
                  <c:v>5.5</c:v>
                </c:pt>
                <c:pt idx="7">
                  <c:v>2.25</c:v>
                </c:pt>
              </c:numCache>
            </c:numRef>
          </c:xVal>
          <c:yVal>
            <c:numRef>
              <c:f>'Offset &amp; Differential'!$AL$14:$AL$21</c:f>
              <c:numCache>
                <c:formatCode>0</c:formatCode>
                <c:ptCount val="8"/>
                <c:pt idx="0">
                  <c:v>45.610910019915885</c:v>
                </c:pt>
                <c:pt idx="1">
                  <c:v>44.974161383860363</c:v>
                </c:pt>
                <c:pt idx="2">
                  <c:v>41.648320548765788</c:v>
                </c:pt>
                <c:pt idx="3">
                  <c:v>36.464753171222512</c:v>
                </c:pt>
                <c:pt idx="4">
                  <c:v>29.95758604425437</c:v>
                </c:pt>
                <c:pt idx="5">
                  <c:v>22.511501111338042</c:v>
                </c:pt>
                <c:pt idx="6">
                  <c:v>14.428445979478658</c:v>
                </c:pt>
                <c:pt idx="7">
                  <c:v>5.9632143511411879</c:v>
                </c:pt>
              </c:numCache>
            </c:numRef>
          </c:yVal>
          <c:smooth val="1"/>
        </c:ser>
        <c:axId val="99081600"/>
        <c:axId val="90269184"/>
      </c:scatterChart>
      <c:valAx>
        <c:axId val="99081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Surface Deflection (degrees)</a:t>
                </a:r>
              </a:p>
            </c:rich>
          </c:tx>
          <c:layout>
            <c:manualLayout>
              <c:xMode val="edge"/>
              <c:yMode val="edge"/>
              <c:x val="0.27424749163879575"/>
              <c:y val="0.8987854251012145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69184"/>
        <c:crosses val="autoZero"/>
        <c:crossBetween val="midCat"/>
      </c:valAx>
      <c:valAx>
        <c:axId val="90269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0816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755852842809363"/>
          <c:y val="2.0242914979757092E-2"/>
          <c:w val="0.51839464882943143"/>
          <c:h val="8.097165991902831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2100313479623826E-2"/>
          <c:y val="3.6675166900661901E-2"/>
          <c:w val="0.91536050156739768"/>
          <c:h val="0.93154923927681199"/>
        </c:manualLayout>
      </c:layout>
      <c:scatterChart>
        <c:scatterStyle val="lineMarker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'Offset &amp; Differential'!$AO$16:$AO$19</c:f>
              <c:numCache>
                <c:formatCode>0.0</c:formatCode>
                <c:ptCount val="4"/>
                <c:pt idx="0">
                  <c:v>4.2266671626090924</c:v>
                </c:pt>
                <c:pt idx="1">
                  <c:v>5.0565456543517486</c:v>
                </c:pt>
                <c:pt idx="2">
                  <c:v>15.056545654351748</c:v>
                </c:pt>
                <c:pt idx="3">
                  <c:v>14</c:v>
                </c:pt>
              </c:numCache>
            </c:numRef>
          </c:xVal>
          <c:yVal>
            <c:numRef>
              <c:f>'Offset &amp; Differential'!$AR$16:$AR$19</c:f>
              <c:numCache>
                <c:formatCode>0.0</c:formatCode>
                <c:ptCount val="4"/>
                <c:pt idx="0">
                  <c:v>5.5891274885534159</c:v>
                </c:pt>
                <c:pt idx="1">
                  <c:v>4.8482642232534969</c:v>
                </c:pt>
                <c:pt idx="2">
                  <c:v>4.7342305324083753</c:v>
                </c:pt>
                <c:pt idx="3">
                  <c:v>7</c:v>
                </c:pt>
              </c:numCache>
            </c:numRef>
          </c:yVal>
        </c:ser>
        <c:ser>
          <c:idx val="2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'Offset &amp; Differential'!$AO$23:$AO$26</c:f>
              <c:numCache>
                <c:formatCode>0.0</c:formatCode>
                <c:ptCount val="4"/>
                <c:pt idx="0">
                  <c:v>4.2266671626090924</c:v>
                </c:pt>
                <c:pt idx="1">
                  <c:v>3.3529523872436986</c:v>
                </c:pt>
                <c:pt idx="2">
                  <c:v>13.352952387243699</c:v>
                </c:pt>
                <c:pt idx="3">
                  <c:v>14</c:v>
                </c:pt>
              </c:numCache>
            </c:numRef>
          </c:xVal>
          <c:yVal>
            <c:numRef>
              <c:f>'Offset &amp; Differential'!$AR$23:$AR$26</c:f>
              <c:numCache>
                <c:formatCode>0.0</c:formatCode>
                <c:ptCount val="4"/>
                <c:pt idx="0">
                  <c:v>5.5891274885534159</c:v>
                </c:pt>
                <c:pt idx="1">
                  <c:v>4.9005062717468721</c:v>
                </c:pt>
                <c:pt idx="2">
                  <c:v>4.5851854342773297</c:v>
                </c:pt>
                <c:pt idx="3">
                  <c:v>7</c:v>
                </c:pt>
              </c:numCache>
            </c:numRef>
          </c:yVal>
        </c:ser>
        <c:ser>
          <c:idx val="4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Differential'!$AO$20:$AO$21</c:f>
              <c:numCache>
                <c:formatCode>0.0</c:formatCode>
                <c:ptCount val="2"/>
                <c:pt idx="0">
                  <c:v>14</c:v>
                </c:pt>
                <c:pt idx="1">
                  <c:v>18.531538935183249</c:v>
                </c:pt>
              </c:numCache>
            </c:numRef>
          </c:xVal>
          <c:yVal>
            <c:numRef>
              <c:f>'Offset &amp; Differential'!$AR$20:$AR$21</c:f>
              <c:numCache>
                <c:formatCode>0.0</c:formatCode>
                <c:ptCount val="2"/>
                <c:pt idx="0">
                  <c:v>7</c:v>
                </c:pt>
                <c:pt idx="1">
                  <c:v>9.1130913087034973</c:v>
                </c:pt>
              </c:numCache>
            </c:numRef>
          </c:yVal>
        </c:ser>
        <c:ser>
          <c:idx val="5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Differential'!$AO$27:$AO$28</c:f>
              <c:numCache>
                <c:formatCode>0.0</c:formatCode>
                <c:ptCount val="2"/>
                <c:pt idx="0">
                  <c:v>14</c:v>
                </c:pt>
                <c:pt idx="1">
                  <c:v>18.829629131445341</c:v>
                </c:pt>
              </c:numCache>
            </c:numRef>
          </c:xVal>
          <c:yVal>
            <c:numRef>
              <c:f>'Offset &amp; Differential'!$AR$27:$AR$28</c:f>
              <c:numCache>
                <c:formatCode>0.0</c:formatCode>
                <c:ptCount val="2"/>
                <c:pt idx="0">
                  <c:v>7</c:v>
                </c:pt>
                <c:pt idx="1">
                  <c:v>5.7059047744873963</c:v>
                </c:pt>
              </c:numCache>
            </c:numRef>
          </c:yVal>
        </c:ser>
        <c:ser>
          <c:idx val="3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Differential'!$AO$13:$AO$14</c:f>
              <c:numCache>
                <c:formatCode>0.0</c:formatCode>
                <c:ptCount val="2"/>
                <c:pt idx="0">
                  <c:v>14</c:v>
                </c:pt>
                <c:pt idx="1">
                  <c:v>19</c:v>
                </c:pt>
              </c:numCache>
            </c:numRef>
          </c:xVal>
          <c:yVal>
            <c:numRef>
              <c:f>'Offset &amp; Differential'!$AR$13:$AR$14</c:f>
              <c:numCache>
                <c:formatCode>0.0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</c:ser>
        <c:ser>
          <c:idx val="0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'Offset &amp; Differential'!$AO$9:$AO$12</c:f>
              <c:numCache>
                <c:formatCode>0.0</c:formatCode>
                <c:ptCount val="4"/>
                <c:pt idx="0">
                  <c:v>4.2266671626090924</c:v>
                </c:pt>
                <c:pt idx="1">
                  <c:v>4</c:v>
                </c:pt>
                <c:pt idx="2">
                  <c:v>14</c:v>
                </c:pt>
                <c:pt idx="3">
                  <c:v>14</c:v>
                </c:pt>
              </c:numCache>
            </c:numRef>
          </c:xVal>
          <c:yVal>
            <c:numRef>
              <c:f>'Offset &amp; Differential'!$AR$9:$AR$12</c:f>
              <c:numCache>
                <c:formatCode>0.0</c:formatCode>
                <c:ptCount val="4"/>
                <c:pt idx="0">
                  <c:v>5.5891274885534159</c:v>
                </c:pt>
                <c:pt idx="1">
                  <c:v>4.5000000000000009</c:v>
                </c:pt>
                <c:pt idx="2">
                  <c:v>4.5</c:v>
                </c:pt>
                <c:pt idx="3">
                  <c:v>7</c:v>
                </c:pt>
              </c:numCache>
            </c:numRef>
          </c:yVal>
        </c:ser>
        <c:axId val="90308992"/>
        <c:axId val="90310912"/>
      </c:scatterChart>
      <c:valAx>
        <c:axId val="90308992"/>
        <c:scaling>
          <c:orientation val="minMax"/>
          <c:max val="22"/>
          <c:min val="0"/>
        </c:scaling>
        <c:delete val="1"/>
        <c:axPos val="b"/>
        <c:numFmt formatCode="0.0" sourceLinked="1"/>
        <c:tickLblPos val="none"/>
        <c:crossAx val="90310912"/>
        <c:crosses val="autoZero"/>
        <c:crossBetween val="midCat"/>
        <c:majorUnit val="2"/>
      </c:valAx>
      <c:valAx>
        <c:axId val="90310912"/>
        <c:scaling>
          <c:orientation val="minMax"/>
          <c:max val="10"/>
          <c:min val="0"/>
        </c:scaling>
        <c:delete val="1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Control Geometry</a:t>
                </a:r>
              </a:p>
            </c:rich>
          </c:tx>
          <c:layout>
            <c:manualLayout>
              <c:xMode val="edge"/>
              <c:yMode val="edge"/>
              <c:x val="1.5673981191222569E-2"/>
              <c:y val="0.17604080112317699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one"/>
        <c:crossAx val="90308992"/>
        <c:crossesAt val="0"/>
        <c:crossBetween val="midCat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1.6722408026755869E-2"/>
          <c:y val="3.6675166900661901E-2"/>
          <c:w val="0.96989966555184004"/>
          <c:h val="0.93154923927681199"/>
        </c:manualLayout>
      </c:layout>
      <c:scatterChart>
        <c:scatterStyle val="lineMarker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'Offset &amp; Differential'!$AP$16:$AP$19</c:f>
              <c:numCache>
                <c:formatCode>0.0</c:formatCode>
                <c:ptCount val="4"/>
                <c:pt idx="0">
                  <c:v>4.569315304369173</c:v>
                </c:pt>
                <c:pt idx="1">
                  <c:v>5.8091337670393184</c:v>
                </c:pt>
                <c:pt idx="2">
                  <c:v>15.574529656641065</c:v>
                </c:pt>
                <c:pt idx="3">
                  <c:v>14.549529814010574</c:v>
                </c:pt>
              </c:numCache>
            </c:numRef>
          </c:xVal>
          <c:yVal>
            <c:numRef>
              <c:f>'Offset &amp; Differential'!$AS$16:$AS$19</c:f>
              <c:numCache>
                <c:formatCode>0.0</c:formatCode>
                <c:ptCount val="4"/>
                <c:pt idx="0">
                  <c:v>3.4935777791277447</c:v>
                </c:pt>
                <c:pt idx="1">
                  <c:v>2.8893394026718289</c:v>
                </c:pt>
                <c:pt idx="2">
                  <c:v>5.0581307046153263</c:v>
                </c:pt>
                <c:pt idx="3">
                  <c:v>7.2562499606576232</c:v>
                </c:pt>
              </c:numCache>
            </c:numRef>
          </c:yVal>
        </c:ser>
        <c:ser>
          <c:idx val="2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'Offset &amp; Differential'!$AP$23:$AP$26</c:f>
              <c:numCache>
                <c:formatCode>0.0</c:formatCode>
                <c:ptCount val="4"/>
                <c:pt idx="0">
                  <c:v>4.569315304369173</c:v>
                </c:pt>
                <c:pt idx="1">
                  <c:v>3.758964449887392</c:v>
                </c:pt>
                <c:pt idx="2">
                  <c:v>13.524529971380083</c:v>
                </c:pt>
                <c:pt idx="3">
                  <c:v>14.549529814010574</c:v>
                </c:pt>
              </c:numCache>
            </c:numRef>
          </c:xVal>
          <c:yVal>
            <c:numRef>
              <c:f>'Offset &amp; Differential'!$AS$23:$AS$26</c:f>
              <c:numCache>
                <c:formatCode>0.0</c:formatCode>
                <c:ptCount val="4"/>
                <c:pt idx="0">
                  <c:v>3.4935777791277447</c:v>
                </c:pt>
                <c:pt idx="1">
                  <c:v>2.3775198377105031</c:v>
                </c:pt>
                <c:pt idx="2">
                  <c:v>4.5456307833000809</c:v>
                </c:pt>
                <c:pt idx="3">
                  <c:v>6.7437500393423768</c:v>
                </c:pt>
              </c:numCache>
            </c:numRef>
          </c:yVal>
        </c:ser>
        <c:ser>
          <c:idx val="4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Differential'!$AP$20:$AP$21</c:f>
              <c:numCache>
                <c:formatCode>0.0</c:formatCode>
                <c:ptCount val="2"/>
                <c:pt idx="0">
                  <c:v>14</c:v>
                </c:pt>
                <c:pt idx="1">
                  <c:v>18.531538935183249</c:v>
                </c:pt>
              </c:numCache>
            </c:numRef>
          </c:xVal>
          <c:yVal>
            <c:numRef>
              <c:f>'Offset &amp; Differential'!$AS$20:$AS$21</c:f>
              <c:numCache>
                <c:formatCode>0.0</c:formatCode>
                <c:ptCount val="2"/>
                <c:pt idx="0">
                  <c:v>7</c:v>
                </c:pt>
                <c:pt idx="1">
                  <c:v>9.1130913087034973</c:v>
                </c:pt>
              </c:numCache>
            </c:numRef>
          </c:yVal>
        </c:ser>
        <c:ser>
          <c:idx val="5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Differential'!$AP$27:$AP$28</c:f>
              <c:numCache>
                <c:formatCode>0.0</c:formatCode>
                <c:ptCount val="2"/>
                <c:pt idx="0">
                  <c:v>14</c:v>
                </c:pt>
                <c:pt idx="1">
                  <c:v>18.531538935183249</c:v>
                </c:pt>
              </c:numCache>
            </c:numRef>
          </c:xVal>
          <c:yVal>
            <c:numRef>
              <c:f>'Offset &amp; Differential'!$AS$27:$AS$28</c:f>
              <c:numCache>
                <c:formatCode>0.0</c:formatCode>
                <c:ptCount val="2"/>
                <c:pt idx="0">
                  <c:v>7</c:v>
                </c:pt>
                <c:pt idx="1">
                  <c:v>4.8869086912965027</c:v>
                </c:pt>
              </c:numCache>
            </c:numRef>
          </c:yVal>
        </c:ser>
        <c:ser>
          <c:idx val="3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Differential'!$AP$13:$AP$14</c:f>
              <c:numCache>
                <c:formatCode>0.0</c:formatCode>
                <c:ptCount val="2"/>
                <c:pt idx="0">
                  <c:v>14</c:v>
                </c:pt>
                <c:pt idx="1">
                  <c:v>19</c:v>
                </c:pt>
              </c:numCache>
            </c:numRef>
          </c:xVal>
          <c:yVal>
            <c:numRef>
              <c:f>'Offset &amp; Differential'!$AS$13:$AS$14</c:f>
              <c:numCache>
                <c:formatCode>0.0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</c:ser>
        <c:ser>
          <c:idx val="0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'Offset &amp; Differential'!$AP$9:$AP$12</c:f>
              <c:numCache>
                <c:formatCode>0.0</c:formatCode>
                <c:ptCount val="4"/>
                <c:pt idx="0">
                  <c:v>4.569315304369173</c:v>
                </c:pt>
                <c:pt idx="1">
                  <c:v>4.9033817998308677</c:v>
                </c:pt>
                <c:pt idx="2">
                  <c:v>14.606339062590832</c:v>
                </c:pt>
                <c:pt idx="3">
                  <c:v>14.606339062590832</c:v>
                </c:pt>
              </c:numCache>
            </c:numRef>
          </c:xVal>
          <c:yVal>
            <c:numRef>
              <c:f>'Offset &amp; Differential'!$AS$9:$AS$12</c:f>
              <c:numCache>
                <c:formatCode>0.0</c:formatCode>
                <c:ptCount val="4"/>
                <c:pt idx="0">
                  <c:v>3.4935777791277447</c:v>
                </c:pt>
                <c:pt idx="1">
                  <c:v>2.1554247936399924</c:v>
                </c:pt>
                <c:pt idx="2">
                  <c:v>4.5746437496366701</c:v>
                </c:pt>
                <c:pt idx="3">
                  <c:v>7</c:v>
                </c:pt>
              </c:numCache>
            </c:numRef>
          </c:yVal>
        </c:ser>
        <c:axId val="90371584"/>
        <c:axId val="90373504"/>
      </c:scatterChart>
      <c:valAx>
        <c:axId val="90371584"/>
        <c:scaling>
          <c:orientation val="minMax"/>
          <c:max val="22"/>
          <c:min val="0"/>
        </c:scaling>
        <c:delete val="1"/>
        <c:axPos val="b"/>
        <c:numFmt formatCode="0.0" sourceLinked="1"/>
        <c:tickLblPos val="none"/>
        <c:crossAx val="90373504"/>
        <c:crosses val="autoZero"/>
        <c:crossBetween val="midCat"/>
        <c:majorUnit val="2"/>
      </c:valAx>
      <c:valAx>
        <c:axId val="90373504"/>
        <c:scaling>
          <c:orientation val="minMax"/>
          <c:max val="10"/>
          <c:min val="0"/>
        </c:scaling>
        <c:delete val="1"/>
        <c:axPos val="l"/>
        <c:numFmt formatCode="0.0" sourceLinked="1"/>
        <c:tickLblPos val="none"/>
        <c:crossAx val="90371584"/>
        <c:crossesAt val="0"/>
        <c:crossBetween val="midCat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1.6722408026755869E-2"/>
          <c:y val="3.6675166900661901E-2"/>
          <c:w val="0.96989966555184004"/>
          <c:h val="0.93154923927681199"/>
        </c:manualLayout>
      </c:layout>
      <c:scatterChart>
        <c:scatterStyle val="lineMarker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'Offset &amp; Differential'!$AQ$16:$AQ$19</c:f>
              <c:numCache>
                <c:formatCode>0.0</c:formatCode>
                <c:ptCount val="4"/>
                <c:pt idx="0">
                  <c:v>4.8184576843538132</c:v>
                </c:pt>
                <c:pt idx="1">
                  <c:v>6.086279825301748</c:v>
                </c:pt>
                <c:pt idx="2">
                  <c:v>16.086279825301748</c:v>
                </c:pt>
                <c:pt idx="3">
                  <c:v>14.968245836551855</c:v>
                </c:pt>
              </c:numCache>
            </c:numRef>
          </c:xVal>
          <c:yVal>
            <c:numRef>
              <c:f>'Offset &amp; Differential'!$AT$16:$AT$19</c:f>
              <c:numCache>
                <c:formatCode>0.0</c:formatCode>
                <c:ptCount val="4"/>
                <c:pt idx="0">
                  <c:v>6.0549264712360165</c:v>
                </c:pt>
                <c:pt idx="1">
                  <c:v>5.6688699368469795</c:v>
                </c:pt>
                <c:pt idx="2">
                  <c:v>5.6225253212712385</c:v>
                </c:pt>
                <c:pt idx="3">
                  <c:v>7.5590169943749475</c:v>
                </c:pt>
              </c:numCache>
            </c:numRef>
          </c:yVal>
        </c:ser>
        <c:ser>
          <c:idx val="2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'Offset &amp; Differential'!$AQ$23:$AQ$26</c:f>
              <c:numCache>
                <c:formatCode>0.0</c:formatCode>
                <c:ptCount val="4"/>
                <c:pt idx="0">
                  <c:v>4.8184576843538132</c:v>
                </c:pt>
                <c:pt idx="1">
                  <c:v>3.8502118478019591</c:v>
                </c:pt>
                <c:pt idx="2">
                  <c:v>13.85021184780196</c:v>
                </c:pt>
                <c:pt idx="3">
                  <c:v>14.968245836551855</c:v>
                </c:pt>
              </c:numCache>
            </c:numRef>
          </c:xVal>
          <c:yVal>
            <c:numRef>
              <c:f>'Offset &amp; Differential'!$AT$23:$AT$26</c:f>
              <c:numCache>
                <c:formatCode>0.0</c:formatCode>
                <c:ptCount val="4"/>
                <c:pt idx="0">
                  <c:v>6.0549264712360165</c:v>
                </c:pt>
                <c:pt idx="1">
                  <c:v>5.1499885568892481</c:v>
                </c:pt>
                <c:pt idx="2">
                  <c:v>4.5044913325213436</c:v>
                </c:pt>
                <c:pt idx="3">
                  <c:v>6.4409830056250525</c:v>
                </c:pt>
              </c:numCache>
            </c:numRef>
          </c:yVal>
        </c:ser>
        <c:ser>
          <c:idx val="4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Differential'!$AQ$20:$AQ$21</c:f>
              <c:numCache>
                <c:formatCode>0.0</c:formatCode>
                <c:ptCount val="2"/>
                <c:pt idx="0">
                  <c:v>14</c:v>
                </c:pt>
                <c:pt idx="1">
                  <c:v>18.330127018922195</c:v>
                </c:pt>
              </c:numCache>
            </c:numRef>
          </c:xVal>
          <c:yVal>
            <c:numRef>
              <c:f>'Offset &amp; Differential'!$AT$20:$AT$21</c:f>
              <c:numCache>
                <c:formatCode>0.0</c:formatCode>
                <c:ptCount val="2"/>
                <c:pt idx="0">
                  <c:v>7</c:v>
                </c:pt>
                <c:pt idx="1">
                  <c:v>9.5</c:v>
                </c:pt>
              </c:numCache>
            </c:numRef>
          </c:yVal>
        </c:ser>
        <c:ser>
          <c:idx val="5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Differential'!$AQ$27:$AQ$28</c:f>
              <c:numCache>
                <c:formatCode>0.0</c:formatCode>
                <c:ptCount val="2"/>
                <c:pt idx="0">
                  <c:v>14</c:v>
                </c:pt>
                <c:pt idx="1">
                  <c:v>18.330127018922195</c:v>
                </c:pt>
              </c:numCache>
            </c:numRef>
          </c:xVal>
          <c:yVal>
            <c:numRef>
              <c:f>'Offset &amp; Differential'!$AT$27:$AT$28</c:f>
              <c:numCache>
                <c:formatCode>0.0</c:formatCode>
                <c:ptCount val="2"/>
                <c:pt idx="0">
                  <c:v>7</c:v>
                </c:pt>
                <c:pt idx="1">
                  <c:v>4.5</c:v>
                </c:pt>
              </c:numCache>
            </c:numRef>
          </c:yVal>
        </c:ser>
        <c:ser>
          <c:idx val="3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Differential'!$AQ$13:$AQ$14</c:f>
              <c:numCache>
                <c:formatCode>0.0</c:formatCode>
                <c:ptCount val="2"/>
                <c:pt idx="0">
                  <c:v>14</c:v>
                </c:pt>
                <c:pt idx="1">
                  <c:v>19</c:v>
                </c:pt>
              </c:numCache>
            </c:numRef>
          </c:xVal>
          <c:yVal>
            <c:numRef>
              <c:f>'Offset &amp; Differential'!$AT$13:$AT$14</c:f>
              <c:numCache>
                <c:formatCode>0.0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</c:ser>
        <c:ser>
          <c:idx val="0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'Offset &amp; Differential'!$AQ$9:$AQ$12</c:f>
              <c:numCache>
                <c:formatCode>0.0</c:formatCode>
                <c:ptCount val="4"/>
                <c:pt idx="0">
                  <c:v>4.8184576843538132</c:v>
                </c:pt>
                <c:pt idx="1">
                  <c:v>5.1180339887498949</c:v>
                </c:pt>
                <c:pt idx="2">
                  <c:v>15.118033988749895</c:v>
                </c:pt>
                <c:pt idx="3">
                  <c:v>15.118033988749895</c:v>
                </c:pt>
              </c:numCache>
            </c:numRef>
          </c:xVal>
          <c:yVal>
            <c:numRef>
              <c:f>'Offset &amp; Differential'!$AT$9:$AT$12</c:f>
              <c:numCache>
                <c:formatCode>0.0</c:formatCode>
                <c:ptCount val="4"/>
                <c:pt idx="0">
                  <c:v>6.0549264712360165</c:v>
                </c:pt>
                <c:pt idx="1">
                  <c:v>4.7639320225002111</c:v>
                </c:pt>
                <c:pt idx="2">
                  <c:v>4.7639320225002102</c:v>
                </c:pt>
                <c:pt idx="3">
                  <c:v>7</c:v>
                </c:pt>
              </c:numCache>
            </c:numRef>
          </c:yVal>
        </c:ser>
        <c:axId val="99276288"/>
        <c:axId val="99278208"/>
      </c:scatterChart>
      <c:valAx>
        <c:axId val="99276288"/>
        <c:scaling>
          <c:orientation val="minMax"/>
          <c:max val="22"/>
          <c:min val="0"/>
        </c:scaling>
        <c:delete val="1"/>
        <c:axPos val="b"/>
        <c:numFmt formatCode="0.0" sourceLinked="1"/>
        <c:tickLblPos val="none"/>
        <c:crossAx val="99278208"/>
        <c:crosses val="autoZero"/>
        <c:crossBetween val="midCat"/>
        <c:majorUnit val="2"/>
      </c:valAx>
      <c:valAx>
        <c:axId val="99278208"/>
        <c:scaling>
          <c:orientation val="minMax"/>
          <c:max val="10"/>
          <c:min val="0"/>
        </c:scaling>
        <c:delete val="1"/>
        <c:axPos val="l"/>
        <c:numFmt formatCode="0.0" sourceLinked="1"/>
        <c:tickLblPos val="none"/>
        <c:crossAx val="99276288"/>
        <c:crossesAt val="0"/>
        <c:crossBetween val="midCat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300940438871472"/>
          <c:y val="0.12550607287449403"/>
          <c:w val="0.76802507836990674"/>
          <c:h val="0.6842105263157896"/>
        </c:manualLayout>
      </c:layout>
      <c:scatterChart>
        <c:scatterStyle val="smoothMarker"/>
        <c:ser>
          <c:idx val="0"/>
          <c:order val="0"/>
          <c:tx>
            <c:v>Aileron+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Differential'!$Q$6:$Q$13</c:f>
              <c:numCache>
                <c:formatCode>0</c:formatCode>
                <c:ptCount val="8"/>
                <c:pt idx="0">
                  <c:v>25</c:v>
                </c:pt>
                <c:pt idx="1">
                  <c:v>21.75</c:v>
                </c:pt>
                <c:pt idx="2">
                  <c:v>18.5</c:v>
                </c:pt>
                <c:pt idx="3">
                  <c:v>15.25</c:v>
                </c:pt>
                <c:pt idx="4">
                  <c:v>12</c:v>
                </c:pt>
                <c:pt idx="5">
                  <c:v>8.75</c:v>
                </c:pt>
                <c:pt idx="6">
                  <c:v>5.5</c:v>
                </c:pt>
                <c:pt idx="7">
                  <c:v>2.25</c:v>
                </c:pt>
              </c:numCache>
            </c:numRef>
          </c:xVal>
          <c:yVal>
            <c:numRef>
              <c:f>'Offset &amp; Differential'!$Z$6:$Z$13</c:f>
              <c:numCache>
                <c:formatCode>0</c:formatCode>
                <c:ptCount val="8"/>
                <c:pt idx="0">
                  <c:v>27.626562093549499</c:v>
                </c:pt>
                <c:pt idx="1">
                  <c:v>27.592062734833931</c:v>
                </c:pt>
                <c:pt idx="2">
                  <c:v>25.616132296904791</c:v>
                </c:pt>
                <c:pt idx="3">
                  <c:v>22.360299527847161</c:v>
                </c:pt>
                <c:pt idx="4">
                  <c:v>18.241194351040669</c:v>
                </c:pt>
                <c:pt idx="5">
                  <c:v>13.561276070728306</c:v>
                </c:pt>
                <c:pt idx="6">
                  <c:v>8.565441902625448</c:v>
                </c:pt>
                <c:pt idx="7">
                  <c:v>3.4719057916169995</c:v>
                </c:pt>
              </c:numCache>
            </c:numRef>
          </c:yVal>
          <c:smooth val="1"/>
        </c:ser>
        <c:ser>
          <c:idx val="1"/>
          <c:order val="1"/>
          <c:tx>
            <c:v>Aileron-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Differential'!$AC$6:$AC$13</c:f>
              <c:numCache>
                <c:formatCode>0</c:formatCode>
                <c:ptCount val="8"/>
                <c:pt idx="0">
                  <c:v>15</c:v>
                </c:pt>
                <c:pt idx="1">
                  <c:v>13.05</c:v>
                </c:pt>
                <c:pt idx="2">
                  <c:v>11.100000000000001</c:v>
                </c:pt>
                <c:pt idx="3">
                  <c:v>9.1500000000000021</c:v>
                </c:pt>
                <c:pt idx="4">
                  <c:v>7.200000000000002</c:v>
                </c:pt>
                <c:pt idx="5">
                  <c:v>5.2500000000000018</c:v>
                </c:pt>
                <c:pt idx="6">
                  <c:v>3.3000000000000016</c:v>
                </c:pt>
                <c:pt idx="7">
                  <c:v>1.3500000000000014</c:v>
                </c:pt>
              </c:numCache>
            </c:numRef>
          </c:xVal>
          <c:yVal>
            <c:numRef>
              <c:f>'Offset &amp; Differential'!$AL$6:$AL$13</c:f>
              <c:numCache>
                <c:formatCode>0</c:formatCode>
                <c:ptCount val="8"/>
                <c:pt idx="0">
                  <c:v>14.755335418774132</c:v>
                </c:pt>
                <c:pt idx="1">
                  <c:v>14.49604028876359</c:v>
                </c:pt>
                <c:pt idx="2">
                  <c:v>13.462966744104259</c:v>
                </c:pt>
                <c:pt idx="3">
                  <c:v>11.860662929691179</c:v>
                </c:pt>
                <c:pt idx="4">
                  <c:v>9.8256377807144641</c:v>
                </c:pt>
                <c:pt idx="5">
                  <c:v>7.4580417879939205</c:v>
                </c:pt>
                <c:pt idx="6">
                  <c:v>4.8365276149694409</c:v>
                </c:pt>
                <c:pt idx="7">
                  <c:v>2.0262452273024678</c:v>
                </c:pt>
              </c:numCache>
            </c:numRef>
          </c:yVal>
          <c:smooth val="1"/>
        </c:ser>
        <c:axId val="99302400"/>
        <c:axId val="99333248"/>
      </c:scatterChart>
      <c:valAx>
        <c:axId val="99302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Surface Deflection (degrees)</a:t>
                </a:r>
              </a:p>
            </c:rich>
          </c:tx>
          <c:layout>
            <c:manualLayout>
              <c:xMode val="edge"/>
              <c:yMode val="edge"/>
              <c:x val="0.31974921630094066"/>
              <c:y val="0.8987854251012145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33248"/>
        <c:crosses val="autoZero"/>
        <c:crossBetween val="midCat"/>
      </c:valAx>
      <c:valAx>
        <c:axId val="99333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Servo Torque (oz-in) @ Max Speed</a:t>
                </a:r>
              </a:p>
            </c:rich>
          </c:tx>
          <c:layout>
            <c:manualLayout>
              <c:xMode val="edge"/>
              <c:yMode val="edge"/>
              <c:x val="1.5673981191222569E-2"/>
              <c:y val="0.1093117408906882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024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721003134796276"/>
          <c:y val="2.0242914979757092E-2"/>
          <c:w val="0.45454545454545453"/>
          <c:h val="8.097165991902831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360501567398119"/>
          <c:y val="7.7452928184596204E-2"/>
          <c:w val="0.79937304075235027"/>
          <c:h val="0.70740341075264457"/>
        </c:manualLayout>
      </c:layout>
      <c:scatterChart>
        <c:scatterStyle val="smoothMarker"/>
        <c:ser>
          <c:idx val="0"/>
          <c:order val="0"/>
          <c:tx>
            <c:v>+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Differential'!$AX$6:$AX$13</c:f>
              <c:numCache>
                <c:formatCode>0</c:formatCode>
                <c:ptCount val="8"/>
                <c:pt idx="0">
                  <c:v>100</c:v>
                </c:pt>
                <c:pt idx="1">
                  <c:v>84.553256263966503</c:v>
                </c:pt>
                <c:pt idx="2">
                  <c:v>70.624447716047754</c:v>
                </c:pt>
                <c:pt idx="3">
                  <c:v>57.576765163671865</c:v>
                </c:pt>
                <c:pt idx="4">
                  <c:v>45.055205585530764</c:v>
                </c:pt>
                <c:pt idx="5">
                  <c:v>32.824843788183621</c:v>
                </c:pt>
                <c:pt idx="6">
                  <c:v>20.705520448491132</c:v>
                </c:pt>
                <c:pt idx="7">
                  <c:v>8.5375888299942897</c:v>
                </c:pt>
              </c:numCache>
            </c:numRef>
          </c:xVal>
          <c:yVal>
            <c:numRef>
              <c:f>'Offset &amp; Differential'!$AW$6:$AW$13</c:f>
              <c:numCache>
                <c:formatCode>0.0</c:formatCode>
                <c:ptCount val="8"/>
                <c:pt idx="0">
                  <c:v>2.9583278321848963</c:v>
                </c:pt>
                <c:pt idx="1">
                  <c:v>2.5939020625688536</c:v>
                </c:pt>
                <c:pt idx="2">
                  <c:v>2.2211325948356451</c:v>
                </c:pt>
                <c:pt idx="3">
                  <c:v>1.8412185012058235</c:v>
                </c:pt>
                <c:pt idx="4">
                  <c:v>1.4553818357243153</c:v>
                </c:pt>
                <c:pt idx="5">
                  <c:v>1.0648637033294168</c:v>
                </c:pt>
                <c:pt idx="6">
                  <c:v>0.67092026764156787</c:v>
                </c:pt>
                <c:pt idx="7">
                  <c:v>0.27481871031348026</c:v>
                </c:pt>
              </c:numCache>
            </c:numRef>
          </c:yVal>
          <c:smooth val="1"/>
        </c:ser>
        <c:ser>
          <c:idx val="1"/>
          <c:order val="1"/>
          <c:tx>
            <c:v>-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Differential'!$AZ$6:$AZ$13</c:f>
              <c:numCache>
                <c:formatCode>0</c:formatCode>
                <c:ptCount val="8"/>
                <c:pt idx="0">
                  <c:v>100</c:v>
                </c:pt>
                <c:pt idx="1">
                  <c:v>83.937802763460283</c:v>
                </c:pt>
                <c:pt idx="2">
                  <c:v>69.418539950726228</c:v>
                </c:pt>
                <c:pt idx="3">
                  <c:v>55.940559653610215</c:v>
                </c:pt>
                <c:pt idx="4">
                  <c:v>43.207018593450712</c:v>
                </c:pt>
                <c:pt idx="5">
                  <c:v>31.023641702401257</c:v>
                </c:pt>
                <c:pt idx="6">
                  <c:v>19.25352895848544</c:v>
                </c:pt>
                <c:pt idx="7">
                  <c:v>7.7942786397595398</c:v>
                </c:pt>
              </c:numCache>
            </c:numRef>
          </c:xVal>
          <c:yVal>
            <c:numRef>
              <c:f>'Offset &amp; Differential'!$AY$6:$AY$13</c:f>
              <c:numCache>
                <c:formatCode>0.0</c:formatCode>
                <c:ptCount val="8"/>
                <c:pt idx="0">
                  <c:v>1.8117333157176452</c:v>
                </c:pt>
                <c:pt idx="1">
                  <c:v>1.580608868083726</c:v>
                </c:pt>
                <c:pt idx="2">
                  <c:v>1.3476537656813521</c:v>
                </c:pt>
                <c:pt idx="3">
                  <c:v>1.1131378161635495</c:v>
                </c:pt>
                <c:pt idx="4">
                  <c:v>0.87733263495013003</c:v>
                </c:pt>
                <c:pt idx="5">
                  <c:v>0.64051133064381682</c:v>
                </c:pt>
                <c:pt idx="6">
                  <c:v>0.40294818871697113</c:v>
                </c:pt>
                <c:pt idx="7">
                  <c:v>0.16491835383527126</c:v>
                </c:pt>
              </c:numCache>
            </c:numRef>
          </c:yVal>
          <c:smooth val="1"/>
        </c:ser>
        <c:axId val="99317248"/>
        <c:axId val="99319168"/>
      </c:scatterChart>
      <c:valAx>
        <c:axId val="99317248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Servo or (no-expo) Stick deflection (%)</a:t>
                </a:r>
              </a:p>
            </c:rich>
          </c:tx>
          <c:layout>
            <c:manualLayout>
              <c:xMode val="edge"/>
              <c:yMode val="edge"/>
              <c:x val="0.24764890282131677"/>
              <c:y val="0.87263632421311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19168"/>
        <c:crosses val="autoZero"/>
        <c:crossBetween val="midCat"/>
      </c:valAx>
      <c:valAx>
        <c:axId val="99319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Trailing edge deflection (cm)</a:t>
                </a:r>
              </a:p>
            </c:rich>
          </c:tx>
          <c:layout>
            <c:manualLayout>
              <c:xMode val="edge"/>
              <c:yMode val="edge"/>
              <c:x val="1.5673981191222569E-2"/>
              <c:y val="6.7125871093316719E-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17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033444816053512"/>
          <c:y val="7.7452928184596204E-2"/>
          <c:w val="0.84949832775919765"/>
          <c:h val="0.70740341075264457"/>
        </c:manualLayout>
      </c:layout>
      <c:scatterChart>
        <c:scatterStyle val="smoothMarker"/>
        <c:ser>
          <c:idx val="0"/>
          <c:order val="0"/>
          <c:tx>
            <c:v>+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Differential'!$AX$14:$AX$21</c:f>
              <c:numCache>
                <c:formatCode>0</c:formatCode>
                <c:ptCount val="8"/>
                <c:pt idx="0">
                  <c:v>100</c:v>
                </c:pt>
                <c:pt idx="1">
                  <c:v>84.392869746831508</c:v>
                </c:pt>
                <c:pt idx="2">
                  <c:v>70.219830752113708</c:v>
                </c:pt>
                <c:pt idx="3">
                  <c:v>56.949377309165605</c:v>
                </c:pt>
                <c:pt idx="4">
                  <c:v>44.278772262226745</c:v>
                </c:pt>
                <c:pt idx="5">
                  <c:v>32.012180704183791</c:v>
                </c:pt>
                <c:pt idx="6">
                  <c:v>20.009613749490306</c:v>
                </c:pt>
                <c:pt idx="7">
                  <c:v>8.1615583252613781</c:v>
                </c:pt>
              </c:numCache>
            </c:numRef>
          </c:xVal>
          <c:yVal>
            <c:numRef>
              <c:f>'Offset &amp; Differential'!$AW$14:$AW$21</c:f>
              <c:numCache>
                <c:formatCode>0.0</c:formatCode>
                <c:ptCount val="8"/>
                <c:pt idx="0">
                  <c:v>5.4940374026290923</c:v>
                </c:pt>
                <c:pt idx="1">
                  <c:v>4.817246687627871</c:v>
                </c:pt>
                <c:pt idx="2">
                  <c:v>4.124960533266198</c:v>
                </c:pt>
                <c:pt idx="3">
                  <c:v>3.4194057879536723</c:v>
                </c:pt>
                <c:pt idx="4">
                  <c:v>2.7028519806308715</c:v>
                </c:pt>
                <c:pt idx="5">
                  <c:v>1.9776040204689169</c:v>
                </c:pt>
                <c:pt idx="6">
                  <c:v>1.2459947827629119</c:v>
                </c:pt>
                <c:pt idx="7">
                  <c:v>0.51037760486789197</c:v>
                </c:pt>
              </c:numCache>
            </c:numRef>
          </c:yVal>
          <c:smooth val="1"/>
        </c:ser>
        <c:ser>
          <c:idx val="1"/>
          <c:order val="1"/>
          <c:tx>
            <c:v>-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Differential'!$AZ$14:$AZ$21</c:f>
              <c:numCache>
                <c:formatCode>0</c:formatCode>
                <c:ptCount val="8"/>
                <c:pt idx="0">
                  <c:v>100</c:v>
                </c:pt>
                <c:pt idx="1">
                  <c:v>84.394010807364964</c:v>
                </c:pt>
                <c:pt idx="2">
                  <c:v>70.221100390468791</c:v>
                </c:pt>
                <c:pt idx="3">
                  <c:v>56.950418439921123</c:v>
                </c:pt>
                <c:pt idx="4">
                  <c:v>44.279485371004029</c:v>
                </c:pt>
                <c:pt idx="5">
                  <c:v>32.012582605532714</c:v>
                </c:pt>
                <c:pt idx="6">
                  <c:v>20.00977791360549</c:v>
                </c:pt>
                <c:pt idx="7">
                  <c:v>8.1615862477914902</c:v>
                </c:pt>
              </c:numCache>
            </c:numRef>
          </c:xVal>
          <c:yVal>
            <c:numRef>
              <c:f>'Offset &amp; Differential'!$AY$14:$AY$21</c:f>
              <c:numCache>
                <c:formatCode>0.0</c:formatCode>
                <c:ptCount val="8"/>
                <c:pt idx="0">
                  <c:v>5.4940374026290923</c:v>
                </c:pt>
                <c:pt idx="1">
                  <c:v>4.817246687627871</c:v>
                </c:pt>
                <c:pt idx="2">
                  <c:v>4.124960533266198</c:v>
                </c:pt>
                <c:pt idx="3">
                  <c:v>3.4194057879536723</c:v>
                </c:pt>
                <c:pt idx="4">
                  <c:v>2.7028519806308715</c:v>
                </c:pt>
                <c:pt idx="5">
                  <c:v>1.9776040204689169</c:v>
                </c:pt>
                <c:pt idx="6">
                  <c:v>1.2459947827629119</c:v>
                </c:pt>
                <c:pt idx="7">
                  <c:v>0.51037760486789197</c:v>
                </c:pt>
              </c:numCache>
            </c:numRef>
          </c:yVal>
          <c:smooth val="1"/>
        </c:ser>
        <c:axId val="99462144"/>
        <c:axId val="99480704"/>
      </c:scatterChart>
      <c:valAx>
        <c:axId val="99462144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Servo or (no-expo) Stick deflection (%)</a:t>
                </a:r>
              </a:p>
            </c:rich>
          </c:tx>
          <c:layout>
            <c:manualLayout>
              <c:xMode val="edge"/>
              <c:yMode val="edge"/>
              <c:x val="0.20066889632107024"/>
              <c:y val="0.87263632421311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80704"/>
        <c:crosses val="autoZero"/>
        <c:crossBetween val="midCat"/>
      </c:valAx>
      <c:valAx>
        <c:axId val="99480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62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40133779264209"/>
          <c:y val="7.7452928184596204E-2"/>
          <c:w val="0.82943143812709064"/>
          <c:h val="0.70740341075264457"/>
        </c:manualLayout>
      </c:layout>
      <c:scatterChart>
        <c:scatterStyle val="smoothMarker"/>
        <c:ser>
          <c:idx val="0"/>
          <c:order val="0"/>
          <c:tx>
            <c:v>+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Differential'!$AX$22:$AX$29</c:f>
              <c:numCache>
                <c:formatCode>0</c:formatCode>
                <c:ptCount val="8"/>
                <c:pt idx="0">
                  <c:v>100</c:v>
                </c:pt>
                <c:pt idx="1">
                  <c:v>81.426676859853586</c:v>
                </c:pt>
                <c:pt idx="2">
                  <c:v>66.937059825688067</c:v>
                </c:pt>
                <c:pt idx="3">
                  <c:v>54.046313142914912</c:v>
                </c:pt>
                <c:pt idx="4">
                  <c:v>41.981212321225556</c:v>
                </c:pt>
                <c:pt idx="5">
                  <c:v>30.378351907303056</c:v>
                </c:pt>
                <c:pt idx="6">
                  <c:v>19.026407263891773</c:v>
                </c:pt>
                <c:pt idx="7">
                  <c:v>7.7816812194935876</c:v>
                </c:pt>
              </c:numCache>
            </c:numRef>
          </c:xVal>
          <c:yVal>
            <c:numRef>
              <c:f>'Offset &amp; Differential'!$AW$22:$AW$29</c:f>
              <c:numCache>
                <c:formatCode>0.0</c:formatCode>
                <c:ptCount val="8"/>
                <c:pt idx="0">
                  <c:v>8.9999999999999982</c:v>
                </c:pt>
                <c:pt idx="1">
                  <c:v>7.9189050574064721</c:v>
                </c:pt>
                <c:pt idx="2">
                  <c:v>6.8011341627324091</c:v>
                </c:pt>
                <c:pt idx="3">
                  <c:v>5.6518642074132899</c:v>
                </c:pt>
                <c:pt idx="4">
                  <c:v>4.4764179689673878</c:v>
                </c:pt>
                <c:pt idx="5">
                  <c:v>3.2802394588586554</c:v>
                </c:pt>
                <c:pt idx="6">
                  <c:v>2.0688687088715998</c:v>
                </c:pt>
                <c:pt idx="7">
                  <c:v>0.84791611277356882</c:v>
                </c:pt>
              </c:numCache>
            </c:numRef>
          </c:yVal>
          <c:smooth val="1"/>
        </c:ser>
        <c:ser>
          <c:idx val="1"/>
          <c:order val="1"/>
          <c:tx>
            <c:v>-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'Offset &amp; Differential'!$AZ$22:$AZ$29</c:f>
              <c:numCache>
                <c:formatCode>0</c:formatCode>
                <c:ptCount val="8"/>
                <c:pt idx="0">
                  <c:v>100</c:v>
                </c:pt>
                <c:pt idx="1">
                  <c:v>83.493084125448192</c:v>
                </c:pt>
                <c:pt idx="2">
                  <c:v>68.930114599195534</c:v>
                </c:pt>
                <c:pt idx="3">
                  <c:v>55.552138839094241</c:v>
                </c:pt>
                <c:pt idx="4">
                  <c:v>42.960814456378571</c:v>
                </c:pt>
                <c:pt idx="5">
                  <c:v>30.912450637889037</c:v>
                </c:pt>
                <c:pt idx="6">
                  <c:v>19.240172206679798</c:v>
                </c:pt>
                <c:pt idx="7">
                  <c:v>7.8176651102858825</c:v>
                </c:pt>
              </c:numCache>
            </c:numRef>
          </c:xVal>
          <c:yVal>
            <c:numRef>
              <c:f>'Offset &amp; Differential'!$AY$22:$AY$29</c:f>
              <c:numCache>
                <c:formatCode>0.0</c:formatCode>
                <c:ptCount val="8"/>
                <c:pt idx="0">
                  <c:v>8.9999999999999982</c:v>
                </c:pt>
                <c:pt idx="1">
                  <c:v>7.9189050574064721</c:v>
                </c:pt>
                <c:pt idx="2">
                  <c:v>6.8011341627324091</c:v>
                </c:pt>
                <c:pt idx="3">
                  <c:v>5.6518642074132899</c:v>
                </c:pt>
                <c:pt idx="4">
                  <c:v>4.4764179689673878</c:v>
                </c:pt>
                <c:pt idx="5">
                  <c:v>3.2802394588586554</c:v>
                </c:pt>
                <c:pt idx="6">
                  <c:v>2.0688687088715998</c:v>
                </c:pt>
                <c:pt idx="7">
                  <c:v>0.84791611277356882</c:v>
                </c:pt>
              </c:numCache>
            </c:numRef>
          </c:yVal>
          <c:smooth val="1"/>
        </c:ser>
        <c:axId val="99386496"/>
        <c:axId val="99388416"/>
      </c:scatterChart>
      <c:valAx>
        <c:axId val="99386496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Servo or (no-expo) Stick deflection (%)</a:t>
                </a:r>
              </a:p>
            </c:rich>
          </c:tx>
          <c:layout>
            <c:manualLayout>
              <c:xMode val="edge"/>
              <c:yMode val="edge"/>
              <c:x val="0.21070234113712405"/>
              <c:y val="0.87263632421311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88416"/>
        <c:crosses val="autoZero"/>
        <c:crossBetween val="midCat"/>
      </c:valAx>
      <c:valAx>
        <c:axId val="99388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864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5785619809663526E-3"/>
          <c:y val="1.9841346731409401E-2"/>
          <c:w val="0.9827604592471475"/>
          <c:h val="0.96428945114649711"/>
        </c:manualLayout>
      </c:layout>
      <c:scatterChart>
        <c:scatterStyle val="lineMarker"/>
        <c:ser>
          <c:idx val="5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3.2397315671881269E-2"/>
                  <c:y val="-1.44177042205549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8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elete val="1"/>
          </c:dLbls>
          <c:xVal>
            <c:numRef>
              <c:f>ServoPlus!$AT$8:$AT$10</c:f>
              <c:numCache>
                <c:formatCode>0.0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-15.588457268119896</c:v>
                </c:pt>
              </c:numCache>
            </c:numRef>
          </c:xVal>
          <c:yVal>
            <c:numRef>
              <c:f>ServoPlus!$AU$8:$AU$10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8.9999999999999982</c:v>
                </c:pt>
              </c:numCache>
            </c:numRef>
          </c:yVal>
        </c:ser>
        <c:ser>
          <c:idx val="6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3.0481603275687972E-2"/>
                  <c:y val="-4.9695897990132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82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elete val="1"/>
          </c:dLbls>
          <c:xVal>
            <c:numRef>
              <c:f>ServoPlus!$AV$8:$AV$10</c:f>
              <c:numCache>
                <c:formatCode>0.0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-15.588457268119896</c:v>
                </c:pt>
              </c:numCache>
            </c:numRef>
          </c:xVal>
          <c:yVal>
            <c:numRef>
              <c:f>ServoPlus!$AW$8:$AW$10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-8.9999999999999982</c:v>
                </c:pt>
              </c:numCache>
            </c:numRef>
          </c:yVal>
        </c:ser>
        <c:ser>
          <c:idx val="4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3.2535196908850962E-2"/>
                  <c:y val="-4.83069146942791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elete val="1"/>
          </c:dLbls>
          <c:xVal>
            <c:numRef>
              <c:f>ServoPlus!$AR$8:$AR$10</c:f>
              <c:numCache>
                <c:formatCode>0.0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-18</c:v>
                </c:pt>
              </c:numCache>
            </c:numRef>
          </c:xVal>
          <c:yVal>
            <c:numRef>
              <c:f>ServoPlus!$AS$8:$AS$10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</c:ser>
        <c:ser>
          <c:idx val="7"/>
          <c:order val="3"/>
          <c:spPr>
            <a:ln w="25400">
              <a:solidFill>
                <a:srgbClr val="FFFF00"/>
              </a:solidFill>
              <a:prstDash val="sysDash"/>
            </a:ln>
          </c:spPr>
          <c:marker>
            <c:symbol val="circ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circle"/>
              <c:size val="7"/>
            </c:marker>
          </c:dPt>
          <c:dPt>
            <c:idx val="2"/>
            <c:marker>
              <c:symbol val="none"/>
            </c:marker>
          </c:dPt>
          <c:dLbls>
            <c:dLbl>
              <c:idx val="2"/>
              <c:layout>
                <c:manualLayout>
                  <c:x val="-3.3351750753144886E-2"/>
                  <c:y val="-5.44172638890905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825" b="0" i="0" u="none" strike="noStrike" baseline="0">
                      <a:solidFill>
                        <a:srgbClr val="FFFF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elete val="1"/>
          </c:dLbls>
          <c:xVal>
            <c:numRef>
              <c:f>ServoPlus!$AX$8:$AX$10</c:f>
              <c:numCache>
                <c:formatCode>0.0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-17.732845260105282</c:v>
                </c:pt>
              </c:numCache>
            </c:numRef>
          </c:xVal>
          <c:yVal>
            <c:numRef>
              <c:f>ServoPlus!$AY$8:$AY$10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-3.0896923764610618</c:v>
                </c:pt>
              </c:numCache>
            </c:numRef>
          </c:yVal>
        </c:ser>
        <c:ser>
          <c:idx val="2"/>
          <c:order val="4"/>
          <c:spPr>
            <a:ln w="3175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3"/>
            <c:marker>
              <c:symbol val="none"/>
            </c:marker>
          </c:dPt>
          <c:xVal>
            <c:numRef>
              <c:f>ServoPlus!$AV$4:$AV$7</c:f>
              <c:numCache>
                <c:formatCode>0.0</c:formatCode>
                <c:ptCount val="4"/>
                <c:pt idx="0">
                  <c:v>10</c:v>
                </c:pt>
                <c:pt idx="1">
                  <c:v>11.707276584913519</c:v>
                </c:pt>
                <c:pt idx="2">
                  <c:v>1.3169872981077808</c:v>
                </c:pt>
                <c:pt idx="3">
                  <c:v>-0.43301270189221935</c:v>
                </c:pt>
              </c:numCache>
            </c:numRef>
          </c:xVal>
          <c:yVal>
            <c:numRef>
              <c:f>ServoPlus!$AW$4:$AW$7</c:f>
              <c:numCache>
                <c:formatCode>0.0</c:formatCode>
                <c:ptCount val="4"/>
                <c:pt idx="0">
                  <c:v>0</c:v>
                </c:pt>
                <c:pt idx="1">
                  <c:v>-1.1917959682342292</c:v>
                </c:pt>
                <c:pt idx="2">
                  <c:v>-3.2810889132455352</c:v>
                </c:pt>
                <c:pt idx="3">
                  <c:v>-0.24999999999999997</c:v>
                </c:pt>
              </c:numCache>
            </c:numRef>
          </c:yVal>
        </c:ser>
        <c:ser>
          <c:idx val="1"/>
          <c:order val="5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3"/>
            <c:marker>
              <c:symbol val="none"/>
            </c:marker>
          </c:dPt>
          <c:xVal>
            <c:numRef>
              <c:f>ServoPlus!$AT$4:$AT$7</c:f>
              <c:numCache>
                <c:formatCode>0.0</c:formatCode>
                <c:ptCount val="4"/>
                <c:pt idx="0">
                  <c:v>10</c:v>
                </c:pt>
                <c:pt idx="1">
                  <c:v>8.2961551408992182</c:v>
                </c:pt>
                <c:pt idx="2">
                  <c:v>-2.183012701892221</c:v>
                </c:pt>
                <c:pt idx="3">
                  <c:v>-0.43301270189221935</c:v>
                </c:pt>
              </c:numCache>
            </c:numRef>
          </c:xVal>
          <c:yVal>
            <c:numRef>
              <c:f>ServoPlus!$AU$4:$AU$7</c:f>
              <c:numCache>
                <c:formatCode>0.0</c:formatCode>
                <c:ptCount val="4"/>
                <c:pt idx="0">
                  <c:v>0</c:v>
                </c:pt>
                <c:pt idx="1">
                  <c:v>-1.1966969806133747</c:v>
                </c:pt>
                <c:pt idx="2">
                  <c:v>-2.7810889132455343</c:v>
                </c:pt>
                <c:pt idx="3">
                  <c:v>0.24999999999999997</c:v>
                </c:pt>
              </c:numCache>
            </c:numRef>
          </c:yVal>
        </c:ser>
        <c:ser>
          <c:idx val="0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3"/>
            <c:marker>
              <c:symbol val="none"/>
            </c:marker>
          </c:dPt>
          <c:xVal>
            <c:numRef>
              <c:f>ServoPlus!$AR$4:$AR$7</c:f>
              <c:numCache>
                <c:formatCode>0.0</c:formatCode>
                <c:ptCount val="4"/>
                <c:pt idx="0">
                  <c:v>10</c:v>
                </c:pt>
                <c:pt idx="1">
                  <c:v>10.002991515685833</c:v>
                </c:pt>
                <c:pt idx="2">
                  <c:v>-0.500000000000001</c:v>
                </c:pt>
                <c:pt idx="3">
                  <c:v>-0.5</c:v>
                </c:pt>
              </c:numCache>
            </c:numRef>
          </c:xVal>
          <c:yVal>
            <c:numRef>
              <c:f>ServoPlus!$AS$4:$AS$7</c:f>
              <c:numCache>
                <c:formatCode>0.0</c:formatCode>
                <c:ptCount val="4"/>
                <c:pt idx="0">
                  <c:v>0</c:v>
                </c:pt>
                <c:pt idx="1">
                  <c:v>-2.0821051890159703</c:v>
                </c:pt>
                <c:pt idx="2">
                  <c:v>-3.5</c:v>
                </c:pt>
                <c:pt idx="3">
                  <c:v>0</c:v>
                </c:pt>
              </c:numCache>
            </c:numRef>
          </c:yVal>
        </c:ser>
        <c:ser>
          <c:idx val="3"/>
          <c:order val="7"/>
          <c:spPr>
            <a:ln w="12700">
              <a:solidFill>
                <a:srgbClr val="FFFF00"/>
              </a:solidFill>
              <a:prstDash val="sysDash"/>
            </a:ln>
          </c:spPr>
          <c:marker>
            <c:symbol val="circle"/>
            <c:size val="5"/>
            <c:spPr>
              <a:noFill/>
              <a:ln>
                <a:solidFill>
                  <a:srgbClr val="FFFF00"/>
                </a:solidFill>
                <a:prstDash val="solid"/>
              </a:ln>
            </c:spPr>
          </c:marker>
          <c:dPt>
            <c:idx val="0"/>
            <c:marker>
              <c:symbol val="circle"/>
              <c:size val="7"/>
              <c:spPr>
                <a:solidFill>
                  <a:srgbClr val="FFFF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xVal>
            <c:numRef>
              <c:f>ServoPlus!$AX$4:$AX$7</c:f>
              <c:numCache>
                <c:formatCode>0.0</c:formatCode>
                <c:ptCount val="4"/>
                <c:pt idx="0">
                  <c:v>10</c:v>
                </c:pt>
                <c:pt idx="1">
                  <c:v>10.594218147244941</c:v>
                </c:pt>
                <c:pt idx="2">
                  <c:v>0.10819448264228013</c:v>
                </c:pt>
                <c:pt idx="3">
                  <c:v>-0.49257903500292455</c:v>
                </c:pt>
              </c:numCache>
            </c:numRef>
          </c:xVal>
          <c:yVal>
            <c:numRef>
              <c:f>ServoPlus!$AY$4:$AY$7</c:f>
              <c:numCache>
                <c:formatCode>0.0</c:formatCode>
                <c:ptCount val="4"/>
                <c:pt idx="0">
                  <c:v>0</c:v>
                </c:pt>
                <c:pt idx="1">
                  <c:v>-1.9955139089412828</c:v>
                </c:pt>
                <c:pt idx="2">
                  <c:v>-3.5338780332555011</c:v>
                </c:pt>
                <c:pt idx="3">
                  <c:v>-8.5824788235029495E-2</c:v>
                </c:pt>
              </c:numCache>
            </c:numRef>
          </c:yVal>
        </c:ser>
        <c:ser>
          <c:idx val="8"/>
          <c:order val="8"/>
          <c:spPr>
            <a:ln w="28575">
              <a:noFill/>
            </a:ln>
          </c:spPr>
          <c:marker>
            <c:symbol val="none"/>
          </c:marker>
          <c:xVal>
            <c:numRef>
              <c:f>ServoPlus!$AR$11:$AR$12</c:f>
              <c:numCache>
                <c:formatCode>0.0</c:formatCode>
                <c:ptCount val="2"/>
                <c:pt idx="0">
                  <c:v>20</c:v>
                </c:pt>
                <c:pt idx="1">
                  <c:v>-20</c:v>
                </c:pt>
              </c:numCache>
            </c:numRef>
          </c:xVal>
          <c:yVal>
            <c:numRef>
              <c:f>ServoPlus!$AS$11:$AS$12</c:f>
              <c:numCache>
                <c:formatCode>0.0</c:formatCode>
                <c:ptCount val="2"/>
                <c:pt idx="0">
                  <c:v>9.9999999999999982</c:v>
                </c:pt>
                <c:pt idx="1">
                  <c:v>-9.9999999999999982</c:v>
                </c:pt>
              </c:numCache>
            </c:numRef>
          </c:yVal>
        </c:ser>
        <c:axId val="113353856"/>
        <c:axId val="113355392"/>
      </c:scatterChart>
      <c:valAx>
        <c:axId val="113353856"/>
        <c:scaling>
          <c:orientation val="minMax"/>
          <c:max val="20"/>
          <c:min val="-20"/>
        </c:scaling>
        <c:axPos val="b"/>
        <c:numFmt formatCode="0.0" sourceLinked="1"/>
        <c:majorTickMark val="none"/>
        <c:tickLblPos val="none"/>
        <c:spPr>
          <a:ln w="9525">
            <a:noFill/>
          </a:ln>
        </c:spPr>
        <c:crossAx val="113355392"/>
        <c:crosses val="autoZero"/>
        <c:crossBetween val="midCat"/>
      </c:valAx>
      <c:valAx>
        <c:axId val="113355392"/>
        <c:scaling>
          <c:orientation val="minMax"/>
          <c:max val="10.000000000000002"/>
          <c:min val="-10.000000000000002"/>
        </c:scaling>
        <c:axPos val="l"/>
        <c:numFmt formatCode="0.0" sourceLinked="1"/>
        <c:majorTickMark val="none"/>
        <c:tickLblPos val="none"/>
        <c:spPr>
          <a:ln w="9525">
            <a:noFill/>
          </a:ln>
        </c:spPr>
        <c:crossAx val="1133538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643725468920139"/>
          <c:y val="5.9524040194228182E-2"/>
          <c:w val="0.82758930342022652"/>
          <c:h val="0.77381252252496635"/>
        </c:manualLayout>
      </c:layout>
      <c:scatterChart>
        <c:scatterStyle val="smoothMarker"/>
        <c:ser>
          <c:idx val="0"/>
          <c:order val="0"/>
          <c:tx>
            <c:v>Positive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xVal>
            <c:numRef>
              <c:f>ServoPlus!$AL$6:$AL$16</c:f>
              <c:numCache>
                <c:formatCode>0.0</c:formatCode>
                <c:ptCount val="11"/>
                <c:pt idx="0">
                  <c:v>30.000000000000053</c:v>
                </c:pt>
                <c:pt idx="1">
                  <c:v>27.733950085195133</c:v>
                </c:pt>
                <c:pt idx="2">
                  <c:v>25.191191889829177</c:v>
                </c:pt>
                <c:pt idx="3">
                  <c:v>22.426397404241726</c:v>
                </c:pt>
                <c:pt idx="4">
                  <c:v>19.485978411523387</c:v>
                </c:pt>
                <c:pt idx="5">
                  <c:v>16.409178496533276</c:v>
                </c:pt>
                <c:pt idx="6">
                  <c:v>13.229310456888662</c:v>
                </c:pt>
                <c:pt idx="7">
                  <c:v>9.9749380010137685</c:v>
                </c:pt>
                <c:pt idx="8">
                  <c:v>6.6709189720352642</c:v>
                </c:pt>
                <c:pt idx="9">
                  <c:v>3.3392898401889068</c:v>
                </c:pt>
                <c:pt idx="10">
                  <c:v>3.6849707754768714E-14</c:v>
                </c:pt>
              </c:numCache>
            </c:numRef>
          </c:xVal>
          <c:yVal>
            <c:numRef>
              <c:f>ServoPlus!$AM$6:$AM$16</c:f>
              <c:numCache>
                <c:formatCode>0</c:formatCode>
                <c:ptCount val="11"/>
                <c:pt idx="0">
                  <c:v>236.15550000000036</c:v>
                </c:pt>
                <c:pt idx="1">
                  <c:v>219.79776228028896</c:v>
                </c:pt>
                <c:pt idx="2">
                  <c:v>201.03454236124006</c:v>
                </c:pt>
                <c:pt idx="3">
                  <c:v>180.1848962268455</c:v>
                </c:pt>
                <c:pt idx="4">
                  <c:v>157.55169126196057</c:v>
                </c:pt>
                <c:pt idx="5">
                  <c:v>133.42555758493398</c:v>
                </c:pt>
                <c:pt idx="6">
                  <c:v>108.08784719018888</c:v>
                </c:pt>
                <c:pt idx="7">
                  <c:v>81.812479621882403</c:v>
                </c:pt>
                <c:pt idx="8">
                  <c:v>54.866776571677484</c:v>
                </c:pt>
                <c:pt idx="9">
                  <c:v>27.511460828288133</c:v>
                </c:pt>
                <c:pt idx="10">
                  <c:v>3.037662192097168E-13</c:v>
                </c:pt>
              </c:numCache>
            </c:numRef>
          </c:yVal>
          <c:smooth val="1"/>
        </c:ser>
        <c:ser>
          <c:idx val="2"/>
          <c:order val="1"/>
          <c:tx>
            <c:v>Negative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</c:dPt>
          <c:dPt>
            <c:idx val="10"/>
            <c:marker>
              <c:symbol val="circl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</c:dPt>
          <c:xVal>
            <c:numRef>
              <c:f>ServoPlus!$AL$16:$AL$26</c:f>
              <c:numCache>
                <c:formatCode>0.0</c:formatCode>
                <c:ptCount val="11"/>
                <c:pt idx="0">
                  <c:v>3.6849707754768714E-14</c:v>
                </c:pt>
                <c:pt idx="1">
                  <c:v>3.3284851831044819</c:v>
                </c:pt>
                <c:pt idx="2">
                  <c:v>6.6286924508084901</c:v>
                </c:pt>
                <c:pt idx="3">
                  <c:v>9.8837427808296834</c:v>
                </c:pt>
                <c:pt idx="4">
                  <c:v>13.077035235542182</c:v>
                </c:pt>
                <c:pt idx="5">
                  <c:v>16.192005391748911</c:v>
                </c:pt>
                <c:pt idx="6">
                  <c:v>19.211956221594374</c:v>
                </c:pt>
                <c:pt idx="7">
                  <c:v>22.119963680385016</c:v>
                </c:pt>
                <c:pt idx="8">
                  <c:v>24.898862540082941</c:v>
                </c:pt>
                <c:pt idx="9">
                  <c:v>27.531319548898985</c:v>
                </c:pt>
                <c:pt idx="10">
                  <c:v>30.000000000000036</c:v>
                </c:pt>
              </c:numCache>
            </c:numRef>
          </c:xVal>
          <c:yVal>
            <c:numRef>
              <c:f>ServoPlus!$AM$16:$AM$26</c:f>
              <c:numCache>
                <c:formatCode>0</c:formatCode>
                <c:ptCount val="11"/>
                <c:pt idx="0">
                  <c:v>3.037662192097168E-13</c:v>
                </c:pt>
                <c:pt idx="1">
                  <c:v>27.4225446494452</c:v>
                </c:pt>
                <c:pt idx="2">
                  <c:v>54.521029011244728</c:v>
                </c:pt>
                <c:pt idx="3">
                  <c:v>81.071983112150022</c:v>
                </c:pt>
                <c:pt idx="4">
                  <c:v>106.86551628611032</c:v>
                </c:pt>
                <c:pt idx="5">
                  <c:v>131.70728114161344</c:v>
                </c:pt>
                <c:pt idx="6">
                  <c:v>155.42040885917532</c:v>
                </c:pt>
                <c:pt idx="7">
                  <c:v>177.84732434819935</c:v>
                </c:pt>
                <c:pt idx="8">
                  <c:v>198.85134109491926</c:v>
                </c:pt>
                <c:pt idx="9">
                  <c:v>218.31792424748264</c:v>
                </c:pt>
                <c:pt idx="10">
                  <c:v>236.15550000000025</c:v>
                </c:pt>
              </c:numCache>
            </c:numRef>
          </c:yVal>
          <c:smooth val="1"/>
        </c:ser>
        <c:ser>
          <c:idx val="1"/>
          <c:order val="2"/>
          <c:tx>
            <c:v>Current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ServoPlus!$AL$5</c:f>
              <c:numCache>
                <c:formatCode>0.0</c:formatCode>
                <c:ptCount val="1"/>
                <c:pt idx="0">
                  <c:v>9.8837427808296834</c:v>
                </c:pt>
              </c:numCache>
            </c:numRef>
          </c:xVal>
          <c:yVal>
            <c:numRef>
              <c:f>ServoPlus!$AM$5</c:f>
              <c:numCache>
                <c:formatCode>0</c:formatCode>
                <c:ptCount val="1"/>
                <c:pt idx="0">
                  <c:v>81.071983112150022</c:v>
                </c:pt>
              </c:numCache>
            </c:numRef>
          </c:yVal>
          <c:smooth val="1"/>
        </c:ser>
        <c:axId val="113210112"/>
        <c:axId val="113212032"/>
      </c:scatterChart>
      <c:valAx>
        <c:axId val="1132101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Control surface deflection (degrees)</a:t>
                </a:r>
              </a:p>
            </c:rich>
          </c:tx>
          <c:layout>
            <c:manualLayout>
              <c:xMode val="edge"/>
              <c:yMode val="edge"/>
              <c:x val="0.19923446193449909"/>
              <c:y val="0.9007971416059864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12032"/>
        <c:crosses val="autoZero"/>
        <c:crossBetween val="midCat"/>
      </c:valAx>
      <c:valAx>
        <c:axId val="113212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101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460071165855365E-2"/>
          <c:y val="5.9524040194228182E-2"/>
          <c:w val="0.87356648694357264"/>
          <c:h val="0.77381252252496635"/>
        </c:manualLayout>
      </c:layout>
      <c:scatterChart>
        <c:scatterStyle val="smoothMarker"/>
        <c:ser>
          <c:idx val="0"/>
          <c:order val="0"/>
          <c:tx>
            <c:v>Positive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xVal>
            <c:numRef>
              <c:f>ServoPlus!$AL$6:$AL$16</c:f>
              <c:numCache>
                <c:formatCode>0.0</c:formatCode>
                <c:ptCount val="11"/>
                <c:pt idx="0">
                  <c:v>30.000000000000053</c:v>
                </c:pt>
                <c:pt idx="1">
                  <c:v>27.733950085195133</c:v>
                </c:pt>
                <c:pt idx="2">
                  <c:v>25.191191889829177</c:v>
                </c:pt>
                <c:pt idx="3">
                  <c:v>22.426397404241726</c:v>
                </c:pt>
                <c:pt idx="4">
                  <c:v>19.485978411523387</c:v>
                </c:pt>
                <c:pt idx="5">
                  <c:v>16.409178496533276</c:v>
                </c:pt>
                <c:pt idx="6">
                  <c:v>13.229310456888662</c:v>
                </c:pt>
                <c:pt idx="7">
                  <c:v>9.9749380010137685</c:v>
                </c:pt>
                <c:pt idx="8">
                  <c:v>6.6709189720352642</c:v>
                </c:pt>
                <c:pt idx="9">
                  <c:v>3.3392898401889068</c:v>
                </c:pt>
                <c:pt idx="10">
                  <c:v>3.6849707754768714E-14</c:v>
                </c:pt>
              </c:numCache>
            </c:numRef>
          </c:xVal>
          <c:yVal>
            <c:numRef>
              <c:f>ServoPlus!$AN$6:$AN$16</c:f>
              <c:numCache>
                <c:formatCode>0.0</c:formatCode>
                <c:ptCount val="11"/>
                <c:pt idx="0">
                  <c:v>6.0902845691386247</c:v>
                </c:pt>
                <c:pt idx="1">
                  <c:v>5.4068978044240001</c:v>
                </c:pt>
                <c:pt idx="2">
                  <c:v>4.7238959048474616</c:v>
                </c:pt>
                <c:pt idx="3">
                  <c:v>4.0542960315778434</c:v>
                </c:pt>
                <c:pt idx="4">
                  <c:v>3.4052295449317822</c:v>
                </c:pt>
                <c:pt idx="5">
                  <c:v>2.7799204139129343</c:v>
                </c:pt>
                <c:pt idx="6">
                  <c:v>2.1791524912107203</c:v>
                </c:pt>
                <c:pt idx="7">
                  <c:v>1.6022868260380942</c:v>
                </c:pt>
                <c:pt idx="8">
                  <c:v>1.0479383414769681</c:v>
                </c:pt>
                <c:pt idx="9">
                  <c:v>0.51441500494339398</c:v>
                </c:pt>
                <c:pt idx="10">
                  <c:v>5.5812402960735299E-15</c:v>
                </c:pt>
              </c:numCache>
            </c:numRef>
          </c:yVal>
          <c:smooth val="1"/>
        </c:ser>
        <c:ser>
          <c:idx val="2"/>
          <c:order val="1"/>
          <c:tx>
            <c:v>Negative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</c:dPt>
          <c:dPt>
            <c:idx val="10"/>
            <c:marker>
              <c:symbol val="circl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</c:dPt>
          <c:xVal>
            <c:numRef>
              <c:f>ServoPlus!$AL$16:$AL$26</c:f>
              <c:numCache>
                <c:formatCode>0.0</c:formatCode>
                <c:ptCount val="11"/>
                <c:pt idx="0">
                  <c:v>3.6849707754768714E-14</c:v>
                </c:pt>
                <c:pt idx="1">
                  <c:v>3.3284851831044819</c:v>
                </c:pt>
                <c:pt idx="2">
                  <c:v>6.6286924508084901</c:v>
                </c:pt>
                <c:pt idx="3">
                  <c:v>9.8837427808296834</c:v>
                </c:pt>
                <c:pt idx="4">
                  <c:v>13.077035235542182</c:v>
                </c:pt>
                <c:pt idx="5">
                  <c:v>16.192005391748911</c:v>
                </c:pt>
                <c:pt idx="6">
                  <c:v>19.211956221594374</c:v>
                </c:pt>
                <c:pt idx="7">
                  <c:v>22.119963680385016</c:v>
                </c:pt>
                <c:pt idx="8">
                  <c:v>24.898862540082941</c:v>
                </c:pt>
                <c:pt idx="9">
                  <c:v>27.531319548898985</c:v>
                </c:pt>
                <c:pt idx="10">
                  <c:v>30.000000000000036</c:v>
                </c:pt>
              </c:numCache>
            </c:numRef>
          </c:xVal>
          <c:yVal>
            <c:numRef>
              <c:f>ServoPlus!$AN$16:$AN$26</c:f>
              <c:numCache>
                <c:formatCode>0.0</c:formatCode>
                <c:ptCount val="11"/>
                <c:pt idx="0">
                  <c:v>5.5812402960735299E-15</c:v>
                </c:pt>
                <c:pt idx="1">
                  <c:v>0.49686572700972209</c:v>
                </c:pt>
                <c:pt idx="2">
                  <c:v>0.97746185176017852</c:v>
                </c:pt>
                <c:pt idx="3">
                  <c:v>1.4427030637952059</c:v>
                </c:pt>
                <c:pt idx="4">
                  <c:v>1.8930744110932147</c:v>
                </c:pt>
                <c:pt idx="5">
                  <c:v>2.3285797462142956</c:v>
                </c:pt>
                <c:pt idx="6">
                  <c:v>2.7487009774525726</c:v>
                </c:pt>
                <c:pt idx="7">
                  <c:v>3.1523704074456123</c:v>
                </c:pt>
                <c:pt idx="8">
                  <c:v>3.5379623262536932</c:v>
                </c:pt>
                <c:pt idx="9">
                  <c:v>3.9033130685882136</c:v>
                </c:pt>
                <c:pt idx="10">
                  <c:v>4.2457803557597531</c:v>
                </c:pt>
              </c:numCache>
            </c:numRef>
          </c:yVal>
          <c:smooth val="1"/>
        </c:ser>
        <c:ser>
          <c:idx val="1"/>
          <c:order val="2"/>
          <c:tx>
            <c:v>Current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ServoPlus!$AL$5</c:f>
              <c:numCache>
                <c:formatCode>0.0</c:formatCode>
                <c:ptCount val="1"/>
                <c:pt idx="0">
                  <c:v>9.8837427808296834</c:v>
                </c:pt>
              </c:numCache>
            </c:numRef>
          </c:xVal>
          <c:yVal>
            <c:numRef>
              <c:f>ServoPlus!$AN$5</c:f>
              <c:numCache>
                <c:formatCode>0.0</c:formatCode>
                <c:ptCount val="1"/>
                <c:pt idx="0">
                  <c:v>1.4427030637952059</c:v>
                </c:pt>
              </c:numCache>
            </c:numRef>
          </c:yVal>
          <c:smooth val="1"/>
        </c:ser>
        <c:axId val="113267456"/>
        <c:axId val="113269376"/>
      </c:scatterChart>
      <c:valAx>
        <c:axId val="1132674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Control surface deflection (degrees)</a:t>
                </a:r>
              </a:p>
            </c:rich>
          </c:tx>
          <c:layout>
            <c:manualLayout>
              <c:xMode val="edge"/>
              <c:yMode val="edge"/>
              <c:x val="0.17624587017282625"/>
              <c:y val="0.9007971416059864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69376"/>
        <c:crosses val="autoZero"/>
        <c:crossBetween val="midCat"/>
      </c:valAx>
      <c:valAx>
        <c:axId val="113269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67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643725468920139"/>
          <c:y val="5.9524040194228182E-2"/>
          <c:w val="0.82758930342022652"/>
          <c:h val="0.77381252252496635"/>
        </c:manualLayout>
      </c:layout>
      <c:scatterChart>
        <c:scatterStyle val="smoothMarker"/>
        <c:ser>
          <c:idx val="0"/>
          <c:order val="0"/>
          <c:tx>
            <c:v>Positive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xVal>
            <c:numRef>
              <c:f>ServoPlus!$AL$6:$AL$16</c:f>
              <c:numCache>
                <c:formatCode>0.0</c:formatCode>
                <c:ptCount val="11"/>
                <c:pt idx="0">
                  <c:v>30.000000000000053</c:v>
                </c:pt>
                <c:pt idx="1">
                  <c:v>27.733950085195133</c:v>
                </c:pt>
                <c:pt idx="2">
                  <c:v>25.191191889829177</c:v>
                </c:pt>
                <c:pt idx="3">
                  <c:v>22.426397404241726</c:v>
                </c:pt>
                <c:pt idx="4">
                  <c:v>19.485978411523387</c:v>
                </c:pt>
                <c:pt idx="5">
                  <c:v>16.409178496533276</c:v>
                </c:pt>
                <c:pt idx="6">
                  <c:v>13.229310456888662</c:v>
                </c:pt>
                <c:pt idx="7">
                  <c:v>9.9749380010137685</c:v>
                </c:pt>
                <c:pt idx="8">
                  <c:v>6.6709189720352642</c:v>
                </c:pt>
                <c:pt idx="9">
                  <c:v>3.3392898401889068</c:v>
                </c:pt>
                <c:pt idx="10">
                  <c:v>3.6849707754768714E-14</c:v>
                </c:pt>
              </c:numCache>
            </c:numRef>
          </c:xVal>
          <c:yVal>
            <c:numRef>
              <c:f>ServoPlus!$AO$6:$AO$16</c:f>
              <c:numCache>
                <c:formatCode>0</c:formatCode>
                <c:ptCount val="11"/>
                <c:pt idx="0">
                  <c:v>90.480392378216024</c:v>
                </c:pt>
                <c:pt idx="1">
                  <c:v>96.481074954815909</c:v>
                </c:pt>
                <c:pt idx="2">
                  <c:v>97.306892964139706</c:v>
                </c:pt>
                <c:pt idx="3">
                  <c:v>93.686444303409402</c:v>
                </c:pt>
                <c:pt idx="4">
                  <c:v>86.355932368756967</c:v>
                </c:pt>
                <c:pt idx="5">
                  <c:v>76.015038165696694</c:v>
                </c:pt>
                <c:pt idx="6">
                  <c:v>63.31078431428989</c:v>
                </c:pt>
                <c:pt idx="7">
                  <c:v>48.835754346907478</c:v>
                </c:pt>
                <c:pt idx="8">
                  <c:v>33.132557611424389</c:v>
                </c:pt>
                <c:pt idx="9">
                  <c:v>16.700170037236859</c:v>
                </c:pt>
                <c:pt idx="10">
                  <c:v>1.842959413045461E-13</c:v>
                </c:pt>
              </c:numCache>
            </c:numRef>
          </c:yVal>
          <c:smooth val="1"/>
        </c:ser>
        <c:ser>
          <c:idx val="2"/>
          <c:order val="1"/>
          <c:tx>
            <c:v>Negative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</c:dPt>
          <c:dPt>
            <c:idx val="10"/>
            <c:marker>
              <c:symbol val="circl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</c:dPt>
          <c:xVal>
            <c:numRef>
              <c:f>ServoPlus!$AL$16:$AL$26</c:f>
              <c:numCache>
                <c:formatCode>0.0</c:formatCode>
                <c:ptCount val="11"/>
                <c:pt idx="0">
                  <c:v>3.6849707754768714E-14</c:v>
                </c:pt>
                <c:pt idx="1">
                  <c:v>3.3284851831044819</c:v>
                </c:pt>
                <c:pt idx="2">
                  <c:v>6.6286924508084901</c:v>
                </c:pt>
                <c:pt idx="3">
                  <c:v>9.8837427808296834</c:v>
                </c:pt>
                <c:pt idx="4">
                  <c:v>13.077035235542182</c:v>
                </c:pt>
                <c:pt idx="5">
                  <c:v>16.192005391748911</c:v>
                </c:pt>
                <c:pt idx="6">
                  <c:v>19.211956221594374</c:v>
                </c:pt>
                <c:pt idx="7">
                  <c:v>22.119963680385016</c:v>
                </c:pt>
                <c:pt idx="8">
                  <c:v>24.898862540082941</c:v>
                </c:pt>
                <c:pt idx="9">
                  <c:v>27.531319548898985</c:v>
                </c:pt>
                <c:pt idx="10">
                  <c:v>30.000000000000036</c:v>
                </c:pt>
              </c:numCache>
            </c:numRef>
          </c:xVal>
          <c:yVal>
            <c:numRef>
              <c:f>ServoPlus!$AO$16:$AO$26</c:f>
              <c:numCache>
                <c:formatCode>0</c:formatCode>
                <c:ptCount val="11"/>
                <c:pt idx="0">
                  <c:v>1.842959413045461E-13</c:v>
                </c:pt>
                <c:pt idx="1">
                  <c:v>16.5392700302138</c:v>
                </c:pt>
                <c:pt idx="2">
                  <c:v>32.518418781090048</c:v>
                </c:pt>
                <c:pt idx="3">
                  <c:v>47.566087043020985</c:v>
                </c:pt>
                <c:pt idx="4">
                  <c:v>61.338837512991404</c:v>
                </c:pt>
                <c:pt idx="5">
                  <c:v>73.522845181133448</c:v>
                </c:pt>
                <c:pt idx="6">
                  <c:v>83.837183507627273</c:v>
                </c:pt>
                <c:pt idx="7">
                  <c:v>92.038641704839819</c:v>
                </c:pt>
                <c:pt idx="8">
                  <c:v>97.927925119206051</c:v>
                </c:pt>
                <c:pt idx="9">
                  <c:v>101.35693226596769</c:v>
                </c:pt>
                <c:pt idx="10">
                  <c:v>102.23656073203699</c:v>
                </c:pt>
              </c:numCache>
            </c:numRef>
          </c:yVal>
          <c:smooth val="1"/>
        </c:ser>
        <c:ser>
          <c:idx val="1"/>
          <c:order val="2"/>
          <c:tx>
            <c:v>Current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ServoPlus!$AL$5</c:f>
              <c:numCache>
                <c:formatCode>0.0</c:formatCode>
                <c:ptCount val="1"/>
                <c:pt idx="0">
                  <c:v>9.8837427808296834</c:v>
                </c:pt>
              </c:numCache>
            </c:numRef>
          </c:xVal>
          <c:yVal>
            <c:numRef>
              <c:f>ServoPlus!$AO$5</c:f>
              <c:numCache>
                <c:formatCode>0</c:formatCode>
                <c:ptCount val="1"/>
                <c:pt idx="0">
                  <c:v>47.566087043020985</c:v>
                </c:pt>
              </c:numCache>
            </c:numRef>
          </c:yVal>
          <c:smooth val="1"/>
        </c:ser>
        <c:axId val="113304320"/>
        <c:axId val="113306240"/>
      </c:scatterChart>
      <c:valAx>
        <c:axId val="1133043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Control surface deflection (degrees)</a:t>
                </a:r>
              </a:p>
            </c:rich>
          </c:tx>
          <c:layout>
            <c:manualLayout>
              <c:xMode val="edge"/>
              <c:yMode val="edge"/>
              <c:x val="0.19923446193449909"/>
              <c:y val="0.9007971416059864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06240"/>
        <c:crosses val="autoZero"/>
        <c:crossBetween val="midCat"/>
      </c:valAx>
      <c:valAx>
        <c:axId val="113306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304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09201423317107"/>
          <c:y val="5.9524040194228182E-2"/>
          <c:w val="0.76245496009548663"/>
          <c:h val="0.81746348533406665"/>
        </c:manualLayout>
      </c:layout>
      <c:scatterChart>
        <c:scatterStyle val="smoothMarker"/>
        <c:ser>
          <c:idx val="0"/>
          <c:order val="0"/>
          <c:tx>
            <c:v>Positive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xVal>
            <c:numRef>
              <c:f>ServoPlus!$AJ$6:$AJ$16</c:f>
              <c:numCache>
                <c:formatCode>0%</c:formatCode>
                <c:ptCount val="11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0</c:v>
                </c:pt>
              </c:numCache>
            </c:numRef>
          </c:xVal>
          <c:yVal>
            <c:numRef>
              <c:f>ServoPlus!$AL$6:$AL$16</c:f>
              <c:numCache>
                <c:formatCode>0.0</c:formatCode>
                <c:ptCount val="11"/>
                <c:pt idx="0">
                  <c:v>30.000000000000053</c:v>
                </c:pt>
                <c:pt idx="1">
                  <c:v>27.733950085195133</c:v>
                </c:pt>
                <c:pt idx="2">
                  <c:v>25.191191889829177</c:v>
                </c:pt>
                <c:pt idx="3">
                  <c:v>22.426397404241726</c:v>
                </c:pt>
                <c:pt idx="4">
                  <c:v>19.485978411523387</c:v>
                </c:pt>
                <c:pt idx="5">
                  <c:v>16.409178496533276</c:v>
                </c:pt>
                <c:pt idx="6">
                  <c:v>13.229310456888662</c:v>
                </c:pt>
                <c:pt idx="7">
                  <c:v>9.9749380010137685</c:v>
                </c:pt>
                <c:pt idx="8">
                  <c:v>6.6709189720352642</c:v>
                </c:pt>
                <c:pt idx="9">
                  <c:v>3.3392898401889068</c:v>
                </c:pt>
                <c:pt idx="10">
                  <c:v>3.6849707754768714E-14</c:v>
                </c:pt>
              </c:numCache>
            </c:numRef>
          </c:yVal>
          <c:smooth val="1"/>
        </c:ser>
        <c:ser>
          <c:idx val="2"/>
          <c:order val="1"/>
          <c:tx>
            <c:v>Negative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</c:dPt>
          <c:dPt>
            <c:idx val="10"/>
            <c:marker>
              <c:symbol val="circl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</c:dPt>
          <c:xVal>
            <c:numRef>
              <c:f>ServoPlus!$AJ$16:$AJ$26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ServoPlus!$AL$16:$AL$26</c:f>
              <c:numCache>
                <c:formatCode>0.0</c:formatCode>
                <c:ptCount val="11"/>
                <c:pt idx="0">
                  <c:v>3.6849707754768714E-14</c:v>
                </c:pt>
                <c:pt idx="1">
                  <c:v>3.3284851831044819</c:v>
                </c:pt>
                <c:pt idx="2">
                  <c:v>6.6286924508084901</c:v>
                </c:pt>
                <c:pt idx="3">
                  <c:v>9.8837427808296834</c:v>
                </c:pt>
                <c:pt idx="4">
                  <c:v>13.077035235542182</c:v>
                </c:pt>
                <c:pt idx="5">
                  <c:v>16.192005391748911</c:v>
                </c:pt>
                <c:pt idx="6">
                  <c:v>19.211956221594374</c:v>
                </c:pt>
                <c:pt idx="7">
                  <c:v>22.119963680385016</c:v>
                </c:pt>
                <c:pt idx="8">
                  <c:v>24.898862540082941</c:v>
                </c:pt>
                <c:pt idx="9">
                  <c:v>27.531319548898985</c:v>
                </c:pt>
                <c:pt idx="10">
                  <c:v>30.000000000000036</c:v>
                </c:pt>
              </c:numCache>
            </c:numRef>
          </c:yVal>
          <c:smooth val="1"/>
        </c:ser>
        <c:ser>
          <c:idx val="1"/>
          <c:order val="2"/>
          <c:tx>
            <c:v>Current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ServoPlus!$AJ$5</c:f>
              <c:numCache>
                <c:formatCode>0%</c:formatCode>
                <c:ptCount val="1"/>
                <c:pt idx="0">
                  <c:v>0.3</c:v>
                </c:pt>
              </c:numCache>
            </c:numRef>
          </c:xVal>
          <c:yVal>
            <c:numRef>
              <c:f>ServoPlus!$AL$5</c:f>
              <c:numCache>
                <c:formatCode>0.0</c:formatCode>
                <c:ptCount val="1"/>
                <c:pt idx="0">
                  <c:v>9.8837427808296834</c:v>
                </c:pt>
              </c:numCache>
            </c:numRef>
          </c:yVal>
          <c:smooth val="1"/>
        </c:ser>
        <c:axId val="120656640"/>
        <c:axId val="120658176"/>
      </c:scatterChart>
      <c:valAx>
        <c:axId val="120656640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58176"/>
        <c:crosses val="autoZero"/>
        <c:crossBetween val="midCat"/>
        <c:majorUnit val="0.25"/>
      </c:valAx>
      <c:valAx>
        <c:axId val="120658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Control deflection </a:t>
                </a:r>
                <a:r>
                  <a:rPr lang="en-US" sz="800" b="0" i="0" u="sng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(degrees)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157159801394135E-2"/>
              <c:y val="0.20238173666037584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56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09201423317107"/>
          <c:y val="5.9524040194228182E-2"/>
          <c:w val="0.76245496009548663"/>
          <c:h val="0.81746348533406665"/>
        </c:manualLayout>
      </c:layout>
      <c:scatterChart>
        <c:scatterStyle val="smoothMarker"/>
        <c:ser>
          <c:idx val="0"/>
          <c:order val="0"/>
          <c:tx>
            <c:v>Positive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</c:dPt>
          <c:xVal>
            <c:numRef>
              <c:f>ServoPlus!$AJ$6:$AJ$16</c:f>
              <c:numCache>
                <c:formatCode>0%</c:formatCode>
                <c:ptCount val="11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0</c:v>
                </c:pt>
              </c:numCache>
            </c:numRef>
          </c:xVal>
          <c:yVal>
            <c:numRef>
              <c:f>ServoPlus!$AK$6:$AK$16</c:f>
              <c:numCache>
                <c:formatCode>0.0</c:formatCode>
                <c:ptCount val="11"/>
                <c:pt idx="0">
                  <c:v>9.0000000000000142</c:v>
                </c:pt>
                <c:pt idx="1">
                  <c:v>8.3765987263586972</c:v>
                </c:pt>
                <c:pt idx="2">
                  <c:v>7.6615233659650546</c:v>
                </c:pt>
                <c:pt idx="3">
                  <c:v>6.8669332962459446</c:v>
                </c:pt>
                <c:pt idx="4">
                  <c:v>6.0043709393075542</c:v>
                </c:pt>
                <c:pt idx="5">
                  <c:v>5.0849123491276123</c:v>
                </c:pt>
                <c:pt idx="6">
                  <c:v>4.1192799859063198</c:v>
                </c:pt>
                <c:pt idx="7">
                  <c:v>3.1179130555796566</c:v>
                </c:pt>
                <c:pt idx="8">
                  <c:v>2.0909993167429826</c:v>
                </c:pt>
                <c:pt idx="9">
                  <c:v>1.0484750406176999</c:v>
                </c:pt>
                <c:pt idx="10">
                  <c:v>1.1576677116931222E-14</c:v>
                </c:pt>
              </c:numCache>
            </c:numRef>
          </c:yVal>
          <c:smooth val="1"/>
        </c:ser>
        <c:ser>
          <c:idx val="2"/>
          <c:order val="1"/>
          <c:tx>
            <c:v>Negative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</c:dPt>
          <c:dPt>
            <c:idx val="10"/>
            <c:marker>
              <c:symbol val="circle"/>
              <c:size val="5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</c:dPt>
          <c:xVal>
            <c:numRef>
              <c:f>ServoPlus!$AJ$16:$AJ$26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ServoPlus!$AK$16:$AK$26</c:f>
              <c:numCache>
                <c:formatCode>0.0</c:formatCode>
                <c:ptCount val="11"/>
                <c:pt idx="0">
                  <c:v>1.1576677116931222E-14</c:v>
                </c:pt>
                <c:pt idx="1">
                  <c:v>1.0450864021587758</c:v>
                </c:pt>
                <c:pt idx="2">
                  <c:v>2.0778227104649374</c:v>
                </c:pt>
                <c:pt idx="3">
                  <c:v>3.0896923764610618</c:v>
                </c:pt>
                <c:pt idx="4">
                  <c:v>4.0726963656361717</c:v>
                </c:pt>
                <c:pt idx="5">
                  <c:v>5.0194280051682938</c:v>
                </c:pt>
                <c:pt idx="6">
                  <c:v>5.9231467390451549</c:v>
                </c:pt>
                <c:pt idx="7">
                  <c:v>6.7778473045675156</c:v>
                </c:pt>
                <c:pt idx="8">
                  <c:v>7.5783205127734616</c:v>
                </c:pt>
                <c:pt idx="9">
                  <c:v>8.3202013852200949</c:v>
                </c:pt>
                <c:pt idx="10">
                  <c:v>9.0000000000000071</c:v>
                </c:pt>
              </c:numCache>
            </c:numRef>
          </c:yVal>
          <c:smooth val="1"/>
        </c:ser>
        <c:ser>
          <c:idx val="1"/>
          <c:order val="2"/>
          <c:tx>
            <c:v>Current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FFFF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ServoPlus!$AJ$5</c:f>
              <c:numCache>
                <c:formatCode>0%</c:formatCode>
                <c:ptCount val="1"/>
                <c:pt idx="0">
                  <c:v>0.3</c:v>
                </c:pt>
              </c:numCache>
            </c:numRef>
          </c:xVal>
          <c:yVal>
            <c:numRef>
              <c:f>ServoPlus!$AK$5</c:f>
              <c:numCache>
                <c:formatCode>0.0</c:formatCode>
                <c:ptCount val="1"/>
                <c:pt idx="0">
                  <c:v>3.0896923764610618</c:v>
                </c:pt>
              </c:numCache>
            </c:numRef>
          </c:yVal>
          <c:smooth val="1"/>
        </c:ser>
        <c:axId val="120701696"/>
        <c:axId val="120703232"/>
      </c:scatterChart>
      <c:valAx>
        <c:axId val="120701696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03232"/>
        <c:crosses val="autoZero"/>
        <c:crossBetween val="midCat"/>
        <c:majorUnit val="0.25"/>
      </c:valAx>
      <c:valAx>
        <c:axId val="120703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Trailing edge deflection</a:t>
                </a:r>
                <a:r>
                  <a:rPr lang="en-U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en-US" sz="800" b="0" i="0" u="sng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(cm)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157159801394135E-2"/>
              <c:y val="0.19444519796781226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016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214317477534678"/>
          <c:y val="6.4102831625733006E-2"/>
          <c:w val="0.74642987309897024"/>
          <c:h val="0.75641341318364874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ServoPlus!$AQ$16:$AQ$26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ServoPlus!$AR$16:$AR$26</c:f>
              <c:numCache>
                <c:formatCode>0.00</c:formatCode>
                <c:ptCount val="11"/>
                <c:pt idx="0">
                  <c:v>0</c:v>
                </c:pt>
                <c:pt idx="1">
                  <c:v>1.0804657084424907E-2</c:v>
                </c:pt>
                <c:pt idx="2">
                  <c:v>4.2226521226774061E-2</c:v>
                </c:pt>
                <c:pt idx="3">
                  <c:v>9.1195220184085102E-2</c:v>
                </c:pt>
                <c:pt idx="4">
                  <c:v>0.15227522134648019</c:v>
                </c:pt>
                <c:pt idx="5">
                  <c:v>0.21717310478436502</c:v>
                </c:pt>
                <c:pt idx="6">
                  <c:v>0.27402218992901339</c:v>
                </c:pt>
                <c:pt idx="7">
                  <c:v>0.30643372385670986</c:v>
                </c:pt>
                <c:pt idx="8">
                  <c:v>0.29232934974623603</c:v>
                </c:pt>
                <c:pt idx="9">
                  <c:v>0.20263053629614802</c:v>
                </c:pt>
                <c:pt idx="10">
                  <c:v>1.7763568394002505E-14</c:v>
                </c:pt>
              </c:numCache>
            </c:numRef>
          </c:yVal>
          <c:smooth val="1"/>
        </c:ser>
        <c:axId val="120731520"/>
        <c:axId val="120647040"/>
      </c:scatterChart>
      <c:valAx>
        <c:axId val="120731520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Stick position</a:t>
                </a:r>
              </a:p>
            </c:rich>
          </c:tx>
          <c:layout>
            <c:manualLayout>
              <c:xMode val="edge"/>
              <c:yMode val="edge"/>
              <c:x val="0.43928648034054241"/>
              <c:y val="0.89316612065187906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647040"/>
        <c:crosses val="autoZero"/>
        <c:crossBetween val="midCat"/>
        <c:majorUnit val="0.25"/>
      </c:valAx>
      <c:valAx>
        <c:axId val="120647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Surface "play" </a:t>
                </a:r>
                <a:r>
                  <a:rPr lang="en-US" sz="800" b="0" i="0" u="sng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(degrees)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857173997583003E-2"/>
              <c:y val="0.1752144064436702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31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214317477534678"/>
          <c:y val="6.4102831625733006E-2"/>
          <c:w val="0.74642987309897024"/>
          <c:h val="0.75641341318364874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ServoPlus!$AQ$16:$AQ$26</c:f>
              <c:numCache>
                <c:formatCode>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ServoPlus!$AS$16:$AS$26</c:f>
              <c:numCache>
                <c:formatCode>0.00</c:formatCode>
                <c:ptCount val="11"/>
                <c:pt idx="0">
                  <c:v>0</c:v>
                </c:pt>
                <c:pt idx="1">
                  <c:v>6.6618915971672589E-3</c:v>
                </c:pt>
                <c:pt idx="2">
                  <c:v>2.6021012044708615E-2</c:v>
                </c:pt>
                <c:pt idx="3">
                  <c:v>5.5693155495430371E-2</c:v>
                </c:pt>
                <c:pt idx="4">
                  <c:v>9.1391619237561006E-2</c:v>
                </c:pt>
                <c:pt idx="5">
                  <c:v>0.12701251223394608</c:v>
                </c:pt>
                <c:pt idx="6">
                  <c:v>0.15481184713229923</c:v>
                </c:pt>
                <c:pt idx="7">
                  <c:v>0.1657214766362797</c:v>
                </c:pt>
                <c:pt idx="8">
                  <c:v>0.14987701881255991</c:v>
                </c:pt>
                <c:pt idx="9">
                  <c:v>9.7461758332270595E-2</c:v>
                </c:pt>
                <c:pt idx="10">
                  <c:v>7.922973385546289E-15</c:v>
                </c:pt>
              </c:numCache>
            </c:numRef>
          </c:yVal>
          <c:smooth val="1"/>
        </c:ser>
        <c:axId val="120773248"/>
        <c:axId val="120853248"/>
      </c:scatterChart>
      <c:valAx>
        <c:axId val="120773248"/>
        <c:scaling>
          <c:orientation val="minMax"/>
          <c:max val="1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Stick position</a:t>
                </a:r>
              </a:p>
            </c:rich>
          </c:tx>
          <c:layout>
            <c:manualLayout>
              <c:xMode val="edge"/>
              <c:yMode val="edge"/>
              <c:x val="0.43928648034054241"/>
              <c:y val="0.89316612065187906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53248"/>
        <c:crosses val="autoZero"/>
        <c:crossBetween val="midCat"/>
        <c:majorUnit val="0.25"/>
      </c:valAx>
      <c:valAx>
        <c:axId val="120853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Maximum cable slack </a:t>
                </a:r>
                <a:r>
                  <a:rPr lang="en-US" sz="800" b="0" i="0" u="sng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(mm)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857173997583003E-2"/>
              <c:y val="0.15812031801014126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73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trlProps/ctrlProp1.xml><?xml version="1.0" encoding="utf-8"?>
<formControlPr xmlns="http://schemas.microsoft.com/office/spreadsheetml/2009/9/main" objectType="Spin" dx="15" fmlaLink="$K$9" max="90" page="10" val="25"/>
</file>

<file path=xl/ctrlProps/ctrlProp2.xml><?xml version="1.0" encoding="utf-8"?>
<formControlPr xmlns="http://schemas.microsoft.com/office/spreadsheetml/2009/9/main" objectType="Spin" dx="15" fmlaLink="$L$9" max="90" page="10" val="25"/>
</file>

<file path=xl/ctrlProps/ctrlProp3.xml><?xml version="1.0" encoding="utf-8"?>
<formControlPr xmlns="http://schemas.microsoft.com/office/spreadsheetml/2009/9/main" objectType="Spin" dx="15" fmlaLink="$M$9" max="90" page="10" val="35"/>
</file>

<file path=xl/ctrlProps/ctrlProp4.xml><?xml version="1.0" encoding="utf-8"?>
<formControlPr xmlns="http://schemas.microsoft.com/office/spreadsheetml/2009/9/main" objectType="Spin" dx="15" fmlaLink="$M$8" max="90" page="10" val="50"/>
</file>

<file path=xl/ctrlProps/ctrlProp5.xml><?xml version="1.0" encoding="utf-8"?>
<formControlPr xmlns="http://schemas.microsoft.com/office/spreadsheetml/2009/9/main" objectType="Spin" dx="15" fmlaLink="$L$8" max="90" page="10" val="35"/>
</file>

<file path=xl/ctrlProps/ctrlProp6.xml><?xml version="1.0" encoding="utf-8"?>
<formControlPr xmlns="http://schemas.microsoft.com/office/spreadsheetml/2009/9/main" objectType="Spin" dx="15" fmlaLink="$K$8" max="90" page="10" val="35"/>
</file>

<file path=xl/ctrlProps/ctrlProp7.xml><?xml version="1.0" encoding="utf-8"?>
<formControlPr xmlns="http://schemas.microsoft.com/office/spreadsheetml/2009/9/main" objectType="Spin" dx="15" fmlaLink="$K$2" inc="5" max="250" page="10" val="85"/>
</file>

<file path=xl/ctrlProps/ctrlProp8.xml><?xml version="1.0" encoding="utf-8"?>
<formControlPr xmlns="http://schemas.microsoft.com/office/spreadsheetml/2009/9/main" objectType="Spin" dx="15" fmlaLink="$H$2" inc="5" max="250" page="10" val="80"/>
</file>

<file path=xl/ctrlProps/ctrlProp9.xml><?xml version="1.0" encoding="utf-8"?>
<formControlPr xmlns="http://schemas.microsoft.com/office/spreadsheetml/2009/9/main" objectType="Spin" dx="15" fmlaLink="$H$7" max="120" page="10" val="60"/>
</file>

<file path=xl/ctrlProps/ctrlProp10.xml><?xml version="1.0" encoding="utf-8"?>
<formControlPr xmlns="http://schemas.microsoft.com/office/spreadsheetml/2009/9/main" objectType="Spin" dx="15" fmlaLink="$H$8" max="120" page="10" val="40"/>
</file>

<file path=xl/ctrlProps/ctrlProp11.xml><?xml version="1.0" encoding="utf-8"?>
<formControlPr xmlns="http://schemas.microsoft.com/office/spreadsheetml/2009/9/main" objectType="Spin" dx="15" fmlaLink="$I$7" max="120" page="10" val="50"/>
</file>

<file path=xl/ctrlProps/ctrlProp12.xml><?xml version="1.0" encoding="utf-8"?>
<formControlPr xmlns="http://schemas.microsoft.com/office/spreadsheetml/2009/9/main" objectType="Spin" dx="15" fmlaLink="$I$8" max="120" page="10" val="50"/>
</file>

<file path=xl/ctrlProps/ctrlProp13.xml><?xml version="1.0" encoding="utf-8"?>
<formControlPr xmlns="http://schemas.microsoft.com/office/spreadsheetml/2009/9/main" objectType="Spin" dx="15" fmlaLink="$J$7" max="120" page="10" val="60"/>
</file>

<file path=xl/ctrlProps/ctrlProp14.xml><?xml version="1.0" encoding="utf-8"?>
<formControlPr xmlns="http://schemas.microsoft.com/office/spreadsheetml/2009/9/main" objectType="Spin" dx="15" fmlaLink="$J$8" max="120" page="10" val="60"/>
</file>

<file path=xl/ctrlProps/ctrlProp15.xml><?xml version="1.0" encoding="utf-8"?>
<formControlPr xmlns="http://schemas.microsoft.com/office/spreadsheetml/2009/9/main" objectType="Spin" dx="15" fmlaLink="$H$9" max="90" page="10" val="25"/>
</file>

<file path=xl/ctrlProps/ctrlProp16.xml><?xml version="1.0" encoding="utf-8"?>
<formControlPr xmlns="http://schemas.microsoft.com/office/spreadsheetml/2009/9/main" objectType="Spin" dx="15" fmlaLink="$H$10" max="90" page="10" val="15"/>
</file>

<file path=xl/ctrlProps/ctrlProp17.xml><?xml version="1.0" encoding="utf-8"?>
<formControlPr xmlns="http://schemas.microsoft.com/office/spreadsheetml/2009/9/main" objectType="Spin" dx="15" fmlaLink="$I$10" max="90" page="10" val="25"/>
</file>

<file path=xl/ctrlProps/ctrlProp18.xml><?xml version="1.0" encoding="utf-8"?>
<formControlPr xmlns="http://schemas.microsoft.com/office/spreadsheetml/2009/9/main" objectType="Spin" dx="15" fmlaLink="$I$9" max="90" page="10" val="25"/>
</file>

<file path=xl/ctrlProps/ctrlProp19.xml><?xml version="1.0" encoding="utf-8"?>
<formControlPr xmlns="http://schemas.microsoft.com/office/spreadsheetml/2009/9/main" objectType="Spin" dx="15" fmlaLink="$J$9" max="90" page="10" val="30"/>
</file>

<file path=xl/ctrlProps/ctrlProp20.xml><?xml version="1.0" encoding="utf-8"?>
<formControlPr xmlns="http://schemas.microsoft.com/office/spreadsheetml/2009/9/main" objectType="Spin" dx="15" fmlaLink="$J$10" max="90" page="10" val="30"/>
</file>

<file path=xl/ctrlProps/ctrlProp21.xml><?xml version="1.0" encoding="utf-8"?>
<formControlPr xmlns="http://schemas.microsoft.com/office/spreadsheetml/2009/9/main" objectType="Spin" dx="15" fmlaLink="$H$13" max="135" min="45" page="10" val="90"/>
</file>

<file path=xl/ctrlProps/ctrlProp22.xml><?xml version="1.0" encoding="utf-8"?>
<formControlPr xmlns="http://schemas.microsoft.com/office/spreadsheetml/2009/9/main" objectType="Spin" dx="15" fmlaLink="$I$13" max="135" min="45" page="10" val="104"/>
</file>

<file path=xl/ctrlProps/ctrlProp23.xml><?xml version="1.0" encoding="utf-8"?>
<formControlPr xmlns="http://schemas.microsoft.com/office/spreadsheetml/2009/9/main" objectType="Spin" dx="15" fmlaLink="$J$13" max="135" min="45" page="10" val="90"/>
</file>

<file path=xl/ctrlProps/ctrlProp24.xml><?xml version="1.0" encoding="utf-8"?>
<formControlPr xmlns="http://schemas.microsoft.com/office/spreadsheetml/2009/9/main" objectType="Spin" dx="15" fmlaLink="$I$8" max="120" page="10" val="50"/>
</file>

<file path=xl/ctrlProps/ctrlProp25.xml><?xml version="1.0" encoding="utf-8"?>
<formControlPr xmlns="http://schemas.microsoft.com/office/spreadsheetml/2009/9/main" objectType="Spin" dx="15" fmlaLink="$J$8" max="120" page="10" val="60"/>
</file>

<file path=xl/ctrlProps/ctrlProp26.xml><?xml version="1.0" encoding="utf-8"?>
<formControlPr xmlns="http://schemas.microsoft.com/office/spreadsheetml/2009/9/main" objectType="CheckBox" fmlaLink="$N$21" lockText="1"/>
</file>

<file path=xl/ctrlProps/ctrlProp27.xml><?xml version="1.0" encoding="utf-8"?>
<formControlPr xmlns="http://schemas.microsoft.com/office/spreadsheetml/2009/9/main" objectType="Spin" dx="15" fmlaLink="$C$10" max="180" page="10" val="30"/>
</file>

<file path=xl/ctrlProps/ctrlProp28.xml><?xml version="1.0" encoding="utf-8"?>
<formControlPr xmlns="http://schemas.microsoft.com/office/spreadsheetml/2009/9/main" objectType="Spin" dx="15" fmlaLink="$C$11" max="180" page="10" val="30"/>
</file>

<file path=xl/ctrlProps/ctrlProp29.xml><?xml version="1.0" encoding="utf-8"?>
<formControlPr xmlns="http://schemas.microsoft.com/office/spreadsheetml/2009/9/main" objectType="Spin" dx="15" fmlaLink="$C$8" max="180" page="10" val="55"/>
</file>

<file path=xl/ctrlProps/ctrlProp30.xml><?xml version="1.0" encoding="utf-8"?>
<formControlPr xmlns="http://schemas.microsoft.com/office/spreadsheetml/2009/9/main" objectType="Spin" dx="15" fmlaLink="$C$9" max="180" page="10" val="55"/>
</file>

<file path=xl/ctrlProps/ctrlProp31.xml><?xml version="1.0" encoding="utf-8"?>
<formControlPr xmlns="http://schemas.microsoft.com/office/spreadsheetml/2009/9/main" objectType="Spin" dx="15" fmlaLink="$N$7" max="180" page="10" val="90"/>
</file>

<file path=xl/ctrlProps/ctrlProp32.xml><?xml version="1.0" encoding="utf-8"?>
<formControlPr xmlns="http://schemas.microsoft.com/office/spreadsheetml/2009/9/main" objectType="Spin" dx="15" fmlaLink="$N$8" max="40" page="10" val="20"/>
</file>

<file path=xl/ctrlProps/ctrlProp33.xml><?xml version="1.0" encoding="utf-8"?>
<formControlPr xmlns="http://schemas.microsoft.com/office/spreadsheetml/2009/9/main" objectType="Spin" dx="15" fmlaLink="$C$18" max="200" page="10" val="35"/>
</file>

<file path=xl/ctrlProps/ctrlProp34.xml><?xml version="1.0" encoding="utf-8"?>
<formControlPr xmlns="http://schemas.microsoft.com/office/spreadsheetml/2009/9/main" objectType="Spin" dx="15" fmlaLink="$C$17" max="50" page="10" val="18"/>
</file>

<file path=xl/ctrlProps/ctrlProp35.xml><?xml version="1.0" encoding="utf-8"?>
<formControlPr xmlns="http://schemas.microsoft.com/office/spreadsheetml/2009/9/main" objectType="Spin" dx="15" fmlaLink="$C$16" inc="5" max="250" page="10" val="70"/>
</file>

<file path=xl/ctrlProps/ctrlProp36.xml><?xml version="1.0" encoding="utf-8"?>
<formControlPr xmlns="http://schemas.microsoft.com/office/spreadsheetml/2009/9/main" objectType="Spin" dx="15" fmlaLink="$C$3" max="200" page="10" val="10"/>
</file>

<file path=xl/ctrlProps/ctrlProp37.xml><?xml version="1.0" encoding="utf-8"?>
<formControlPr xmlns="http://schemas.microsoft.com/office/spreadsheetml/2009/9/main" objectType="Spin" dx="15" fmlaLink="$N$4" max="200" page="10" val="100"/>
</file>

<file path=xl/ctrlProps/ctrlProp38.xml><?xml version="1.0" encoding="utf-8"?>
<formControlPr xmlns="http://schemas.microsoft.com/office/spreadsheetml/2009/9/main" objectType="Spin" dx="15" fmlaLink="$N$5" max="200" page="10" val="105"/>
</file>

<file path=xl/ctrlProps/ctrlProp39.xml><?xml version="1.0" encoding="utf-8"?>
<formControlPr xmlns="http://schemas.microsoft.com/office/spreadsheetml/2009/9/main" objectType="Spin" dx="15" fmlaLink="$N$6" max="200" page="10" val="65"/>
</file>

<file path=xl/ctrlProps/ctrlProp40.xml><?xml version="1.0" encoding="utf-8"?>
<formControlPr xmlns="http://schemas.microsoft.com/office/spreadsheetml/2009/9/main" objectType="Scroll" dx="15" fmlaLink="$N$9" horiz="1" max="200" page="10" val="70"/>
</file>

<file path=xl/ctrlProps/ctrlProp41.xml><?xml version="1.0" encoding="utf-8"?>
<formControlPr xmlns="http://schemas.microsoft.com/office/spreadsheetml/2009/9/main" objectType="CheckBox" checked="Checked" fmlaLink="$N$19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5</xdr:col>
      <xdr:colOff>0</xdr:colOff>
      <xdr:row>30</xdr:row>
      <xdr:rowOff>0</xdr:rowOff>
    </xdr:to>
    <xdr:graphicFrame macro="">
      <xdr:nvGraphicFramePr>
        <xdr:cNvPr id="143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12</xdr:row>
      <xdr:rowOff>0</xdr:rowOff>
    </xdr:from>
    <xdr:to>
      <xdr:col>13</xdr:col>
      <xdr:colOff>0</xdr:colOff>
      <xdr:row>30</xdr:row>
      <xdr:rowOff>0</xdr:rowOff>
    </xdr:to>
    <xdr:graphicFrame macro="">
      <xdr:nvGraphicFramePr>
        <xdr:cNvPr id="143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14</xdr:col>
      <xdr:colOff>0</xdr:colOff>
      <xdr:row>33</xdr:row>
      <xdr:rowOff>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10</xdr:col>
      <xdr:colOff>0</xdr:colOff>
      <xdr:row>33</xdr:row>
      <xdr:rowOff>0</xdr:rowOff>
    </xdr:to>
    <xdr:graphicFrame macro="">
      <xdr:nvGraphicFramePr>
        <xdr:cNvPr id="133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6</xdr:col>
      <xdr:colOff>0</xdr:colOff>
      <xdr:row>34</xdr:row>
      <xdr:rowOff>0</xdr:rowOff>
    </xdr:to>
    <xdr:graphicFrame macro="">
      <xdr:nvGraphicFramePr>
        <xdr:cNvPr id="1332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33</xdr:row>
      <xdr:rowOff>0</xdr:rowOff>
    </xdr:from>
    <xdr:to>
      <xdr:col>10</xdr:col>
      <xdr:colOff>0</xdr:colOff>
      <xdr:row>34</xdr:row>
      <xdr:rowOff>0</xdr:rowOff>
    </xdr:to>
    <xdr:graphicFrame macro="">
      <xdr:nvGraphicFramePr>
        <xdr:cNvPr id="1332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14</xdr:col>
      <xdr:colOff>0</xdr:colOff>
      <xdr:row>34</xdr:row>
      <xdr:rowOff>0</xdr:rowOff>
    </xdr:to>
    <xdr:graphicFrame macro="">
      <xdr:nvGraphicFramePr>
        <xdr:cNvPr id="1333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0</xdr:colOff>
      <xdr:row>33</xdr:row>
      <xdr:rowOff>0</xdr:rowOff>
    </xdr:to>
    <xdr:graphicFrame macro="">
      <xdr:nvGraphicFramePr>
        <xdr:cNvPr id="1333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6</xdr:col>
      <xdr:colOff>0</xdr:colOff>
      <xdr:row>35</xdr:row>
      <xdr:rowOff>0</xdr:rowOff>
    </xdr:to>
    <xdr:graphicFrame macro="">
      <xdr:nvGraphicFramePr>
        <xdr:cNvPr id="1333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34</xdr:row>
      <xdr:rowOff>0</xdr:rowOff>
    </xdr:from>
    <xdr:to>
      <xdr:col>10</xdr:col>
      <xdr:colOff>0</xdr:colOff>
      <xdr:row>35</xdr:row>
      <xdr:rowOff>0</xdr:rowOff>
    </xdr:to>
    <xdr:graphicFrame macro="">
      <xdr:nvGraphicFramePr>
        <xdr:cNvPr id="1333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34</xdr:row>
      <xdr:rowOff>0</xdr:rowOff>
    </xdr:from>
    <xdr:to>
      <xdr:col>14</xdr:col>
      <xdr:colOff>0</xdr:colOff>
      <xdr:row>35</xdr:row>
      <xdr:rowOff>0</xdr:rowOff>
    </xdr:to>
    <xdr:graphicFrame macro="">
      <xdr:nvGraphicFramePr>
        <xdr:cNvPr id="1333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200025</xdr:colOff>
      <xdr:row>3</xdr:row>
      <xdr:rowOff>0</xdr:rowOff>
    </xdr:from>
    <xdr:to>
      <xdr:col>13</xdr:col>
      <xdr:colOff>676275</xdr:colOff>
      <xdr:row>12</xdr:row>
      <xdr:rowOff>76200</xdr:rowOff>
    </xdr:to>
    <xdr:grpSp>
      <xdr:nvGrpSpPr>
        <xdr:cNvPr id="13335" name="Group 23"/>
        <xdr:cNvGrpSpPr>
          <a:grpSpLocks/>
        </xdr:cNvGrpSpPr>
      </xdr:nvGrpSpPr>
      <xdr:grpSpPr bwMode="auto">
        <a:xfrm>
          <a:off x="6257925" y="508000"/>
          <a:ext cx="2609850" cy="1574800"/>
          <a:chOff x="660" y="52"/>
          <a:chExt cx="275" cy="162"/>
        </a:xfrm>
      </xdr:grpSpPr>
      <xdr:sp macro="" textlink="">
        <xdr:nvSpPr>
          <xdr:cNvPr id="13336" name="Rectangle 24"/>
          <xdr:cNvSpPr>
            <a:spLocks noChangeArrowheads="1"/>
          </xdr:cNvSpPr>
        </xdr:nvSpPr>
        <xdr:spPr bwMode="auto">
          <a:xfrm>
            <a:off x="660" y="52"/>
            <a:ext cx="275" cy="16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13337" name="Group 25"/>
          <xdr:cNvGrpSpPr>
            <a:grpSpLocks/>
          </xdr:cNvGrpSpPr>
        </xdr:nvGrpSpPr>
        <xdr:grpSpPr bwMode="auto">
          <a:xfrm>
            <a:off x="716" y="83"/>
            <a:ext cx="212" cy="36"/>
            <a:chOff x="685" y="102"/>
            <a:chExt cx="180" cy="34"/>
          </a:xfrm>
        </xdr:grpSpPr>
        <xdr:sp macro="" textlink="">
          <xdr:nvSpPr>
            <xdr:cNvPr id="13338" name="Line 26"/>
            <xdr:cNvSpPr>
              <a:spLocks noChangeShapeType="1"/>
            </xdr:cNvSpPr>
          </xdr:nvSpPr>
          <xdr:spPr bwMode="auto">
            <a:xfrm flipV="1">
              <a:off x="685" y="102"/>
              <a:ext cx="30" cy="1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339" name="Line 27"/>
            <xdr:cNvSpPr>
              <a:spLocks noChangeShapeType="1"/>
            </xdr:cNvSpPr>
          </xdr:nvSpPr>
          <xdr:spPr bwMode="auto">
            <a:xfrm>
              <a:off x="715" y="102"/>
              <a:ext cx="150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340" name="Line 28"/>
            <xdr:cNvSpPr>
              <a:spLocks noChangeShapeType="1"/>
            </xdr:cNvSpPr>
          </xdr:nvSpPr>
          <xdr:spPr bwMode="auto">
            <a:xfrm>
              <a:off x="685" y="119"/>
              <a:ext cx="30" cy="1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341" name="Line 29"/>
            <xdr:cNvSpPr>
              <a:spLocks noChangeShapeType="1"/>
            </xdr:cNvSpPr>
          </xdr:nvSpPr>
          <xdr:spPr bwMode="auto">
            <a:xfrm flipV="1">
              <a:off x="715" y="136"/>
              <a:ext cx="150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342" name="Line 30"/>
            <xdr:cNvSpPr>
              <a:spLocks noChangeShapeType="1"/>
            </xdr:cNvSpPr>
          </xdr:nvSpPr>
          <xdr:spPr bwMode="auto">
            <a:xfrm>
              <a:off x="865" y="102"/>
              <a:ext cx="0" cy="3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3343" name="Group 31"/>
          <xdr:cNvGrpSpPr>
            <a:grpSpLocks/>
          </xdr:cNvGrpSpPr>
        </xdr:nvGrpSpPr>
        <xdr:grpSpPr bwMode="auto">
          <a:xfrm>
            <a:off x="787" y="119"/>
            <a:ext cx="36" cy="76"/>
            <a:chOff x="745" y="136"/>
            <a:chExt cx="30" cy="68"/>
          </a:xfrm>
        </xdr:grpSpPr>
        <xdr:sp macro="" textlink="">
          <xdr:nvSpPr>
            <xdr:cNvPr id="13344" name="Line 32"/>
            <xdr:cNvSpPr>
              <a:spLocks noChangeShapeType="1"/>
            </xdr:cNvSpPr>
          </xdr:nvSpPr>
          <xdr:spPr bwMode="auto">
            <a:xfrm>
              <a:off x="745" y="136"/>
              <a:ext cx="0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345" name="Line 33"/>
            <xdr:cNvSpPr>
              <a:spLocks noChangeShapeType="1"/>
            </xdr:cNvSpPr>
          </xdr:nvSpPr>
          <xdr:spPr bwMode="auto">
            <a:xfrm flipV="1">
              <a:off x="745" y="136"/>
              <a:ext cx="30" cy="68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3346" name="Line 34"/>
          <xdr:cNvSpPr>
            <a:spLocks noChangeShapeType="1"/>
          </xdr:cNvSpPr>
        </xdr:nvSpPr>
        <xdr:spPr bwMode="auto">
          <a:xfrm flipH="1">
            <a:off x="678" y="195"/>
            <a:ext cx="109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47" name="Line 35"/>
          <xdr:cNvSpPr>
            <a:spLocks noChangeShapeType="1"/>
          </xdr:cNvSpPr>
        </xdr:nvSpPr>
        <xdr:spPr bwMode="auto">
          <a:xfrm>
            <a:off x="858" y="100"/>
            <a:ext cx="0" cy="95"/>
          </a:xfrm>
          <a:prstGeom prst="line">
            <a:avLst/>
          </a:prstGeom>
          <a:noFill/>
          <a:ln w="12700" cap="rnd">
            <a:solidFill>
              <a:srgbClr val="0000FF"/>
            </a:solidFill>
            <a:prstDash val="sysDot"/>
            <a:round/>
            <a:headEnd type="arrow" w="med" len="med"/>
            <a:tailEnd type="arrow" w="med" len="med"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48" name="Line 36"/>
          <xdr:cNvSpPr>
            <a:spLocks noChangeShapeType="1"/>
          </xdr:cNvSpPr>
        </xdr:nvSpPr>
        <xdr:spPr bwMode="auto">
          <a:xfrm>
            <a:off x="716" y="63"/>
            <a:ext cx="71" cy="0"/>
          </a:xfrm>
          <a:prstGeom prst="line">
            <a:avLst/>
          </a:prstGeom>
          <a:noFill/>
          <a:ln w="12700" cap="rnd">
            <a:solidFill>
              <a:srgbClr val="0000FF"/>
            </a:solidFill>
            <a:prstDash val="sysDot"/>
            <a:round/>
            <a:headEnd type="arrow" w="med" len="med"/>
            <a:tailEnd type="arrow" w="med" len="med"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49" name="Text Box 37"/>
          <xdr:cNvSpPr txBox="1">
            <a:spLocks noChangeArrowheads="1"/>
          </xdr:cNvSpPr>
        </xdr:nvSpPr>
        <xdr:spPr bwMode="auto">
          <a:xfrm>
            <a:off x="749" y="63"/>
            <a:ext cx="2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D</a:t>
            </a:r>
            <a:endParaRPr lang="en-US"/>
          </a:p>
        </xdr:txBody>
      </xdr:sp>
      <xdr:sp macro="" textlink="">
        <xdr:nvSpPr>
          <xdr:cNvPr id="13350" name="Text Box 38"/>
          <xdr:cNvSpPr txBox="1">
            <a:spLocks noChangeArrowheads="1"/>
          </xdr:cNvSpPr>
        </xdr:nvSpPr>
        <xdr:spPr bwMode="auto">
          <a:xfrm>
            <a:off x="836" y="139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H</a:t>
            </a:r>
            <a:endParaRPr lang="en-US"/>
          </a:p>
        </xdr:txBody>
      </xdr:sp>
      <xdr:sp macro="" textlink="">
        <xdr:nvSpPr>
          <xdr:cNvPr id="13351" name="Text Box 39"/>
          <xdr:cNvSpPr txBox="1">
            <a:spLocks noChangeArrowheads="1"/>
          </xdr:cNvSpPr>
        </xdr:nvSpPr>
        <xdr:spPr bwMode="auto">
          <a:xfrm>
            <a:off x="710" y="196"/>
            <a:ext cx="64" cy="1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Pushrod</a:t>
            </a:r>
            <a:endParaRPr lang="en-US"/>
          </a:p>
        </xdr:txBody>
      </xdr:sp>
      <xdr:sp macro="" textlink="">
        <xdr:nvSpPr>
          <xdr:cNvPr id="13352" name="Text Box 40"/>
          <xdr:cNvSpPr txBox="1">
            <a:spLocks noChangeArrowheads="1"/>
          </xdr:cNvSpPr>
        </xdr:nvSpPr>
        <xdr:spPr bwMode="auto">
          <a:xfrm>
            <a:off x="735" y="92"/>
            <a:ext cx="110" cy="2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Control Surface</a:t>
            </a:r>
            <a:endParaRPr lang="en-US"/>
          </a:p>
        </xdr:txBody>
      </xdr:sp>
      <xdr:sp macro="" textlink="">
        <xdr:nvSpPr>
          <xdr:cNvPr id="13353" name="Text Box 41"/>
          <xdr:cNvSpPr txBox="1">
            <a:spLocks noChangeArrowheads="1"/>
          </xdr:cNvSpPr>
        </xdr:nvSpPr>
        <xdr:spPr bwMode="auto">
          <a:xfrm>
            <a:off x="764" y="169"/>
            <a:ext cx="21" cy="2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A</a:t>
            </a:r>
            <a:endParaRPr lang="en-US"/>
          </a:p>
        </xdr:txBody>
      </xdr:sp>
      <xdr:sp macro="" textlink="">
        <xdr:nvSpPr>
          <xdr:cNvPr id="13354" name="Oval 42"/>
          <xdr:cNvSpPr>
            <a:spLocks noChangeArrowheads="1"/>
          </xdr:cNvSpPr>
        </xdr:nvSpPr>
        <xdr:spPr bwMode="auto">
          <a:xfrm>
            <a:off x="711" y="96"/>
            <a:ext cx="12" cy="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355" name="Text Box 43"/>
          <xdr:cNvSpPr txBox="1">
            <a:spLocks noChangeArrowheads="1"/>
          </xdr:cNvSpPr>
        </xdr:nvSpPr>
        <xdr:spPr bwMode="auto">
          <a:xfrm>
            <a:off x="663" y="91"/>
            <a:ext cx="47" cy="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Hinge</a:t>
            </a:r>
            <a:endParaRPr lang="en-US"/>
          </a:p>
        </xdr:txBody>
      </xdr:sp>
      <xdr:sp macro="" textlink="">
        <xdr:nvSpPr>
          <xdr:cNvPr id="13356" name="Arc 44"/>
          <xdr:cNvSpPr>
            <a:spLocks/>
          </xdr:cNvSpPr>
        </xdr:nvSpPr>
        <xdr:spPr bwMode="auto">
          <a:xfrm flipH="1">
            <a:off x="756" y="157"/>
            <a:ext cx="31" cy="38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FF"/>
            </a:solidFill>
            <a:prstDash val="sysDot"/>
            <a:round/>
            <a:headEnd/>
            <a:tailEnd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0</xdr:colOff>
      <xdr:row>16</xdr:row>
      <xdr:rowOff>0</xdr:rowOff>
    </xdr:to>
    <xdr:graphicFrame macro="[0]!setaxes">
      <xdr:nvGraphicFramePr>
        <xdr:cNvPr id="3789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18</xdr:row>
      <xdr:rowOff>0</xdr:rowOff>
    </xdr:from>
    <xdr:to>
      <xdr:col>9</xdr:col>
      <xdr:colOff>0</xdr:colOff>
      <xdr:row>32</xdr:row>
      <xdr:rowOff>0</xdr:rowOff>
    </xdr:to>
    <xdr:graphicFrame macro="[0]!axiscondense">
      <xdr:nvGraphicFramePr>
        <xdr:cNvPr id="37929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32</xdr:row>
      <xdr:rowOff>0</xdr:rowOff>
    </xdr:to>
    <xdr:graphicFrame macro="[0]!axiscondense">
      <xdr:nvGraphicFramePr>
        <xdr:cNvPr id="37930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32</xdr:row>
      <xdr:rowOff>0</xdr:rowOff>
    </xdr:to>
    <xdr:graphicFrame macro="[0]!axiscondense">
      <xdr:nvGraphicFramePr>
        <xdr:cNvPr id="37931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9</xdr:col>
      <xdr:colOff>0</xdr:colOff>
      <xdr:row>16</xdr:row>
      <xdr:rowOff>0</xdr:rowOff>
    </xdr:to>
    <xdr:graphicFrame macro="[0]!tedef">
      <xdr:nvGraphicFramePr>
        <xdr:cNvPr id="37944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8</xdr:col>
      <xdr:colOff>0</xdr:colOff>
      <xdr:row>2</xdr:row>
      <xdr:rowOff>0</xdr:rowOff>
    </xdr:from>
    <xdr:to>
      <xdr:col>9</xdr:col>
      <xdr:colOff>0</xdr:colOff>
      <xdr:row>16</xdr:row>
      <xdr:rowOff>0</xdr:rowOff>
    </xdr:to>
    <xdr:graphicFrame macro="[0]!conrot">
      <xdr:nvGraphicFramePr>
        <xdr:cNvPr id="378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45</xdr:col>
      <xdr:colOff>0</xdr:colOff>
      <xdr:row>13</xdr:row>
      <xdr:rowOff>0</xdr:rowOff>
    </xdr:from>
    <xdr:to>
      <xdr:col>52</xdr:col>
      <xdr:colOff>0</xdr:colOff>
      <xdr:row>26</xdr:row>
      <xdr:rowOff>0</xdr:rowOff>
    </xdr:to>
    <xdr:graphicFrame macro="[0]!slack">
      <xdr:nvGraphicFramePr>
        <xdr:cNvPr id="37946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0</xdr:colOff>
      <xdr:row>13</xdr:row>
      <xdr:rowOff>0</xdr:rowOff>
    </xdr:from>
    <xdr:to>
      <xdr:col>52</xdr:col>
      <xdr:colOff>0</xdr:colOff>
      <xdr:row>26</xdr:row>
      <xdr:rowOff>0</xdr:rowOff>
    </xdr:to>
    <xdr:graphicFrame macro="[0]!play">
      <xdr:nvGraphicFramePr>
        <xdr:cNvPr id="37943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5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omments" Target="../comments1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J1:AK36"/>
  <sheetViews>
    <sheetView tabSelected="1" workbookViewId="0">
      <selection activeCell="K7" sqref="K7"/>
    </sheetView>
  </sheetViews>
  <sheetFormatPr defaultRowHeight="12.75"/>
  <cols>
    <col min="1" max="1" width="2.5703125" style="158" customWidth="1"/>
    <col min="2" max="13" width="9.7109375" style="158" customWidth="1"/>
    <col min="14" max="14" width="3" style="158" customWidth="1"/>
    <col min="15" max="15" width="9.7109375" style="158" bestFit="1" customWidth="1"/>
    <col min="16" max="16" width="7.28515625" style="158" bestFit="1" customWidth="1"/>
    <col min="17" max="17" width="5.7109375" style="158" bestFit="1" customWidth="1"/>
    <col min="18" max="18" width="4.42578125" style="158" customWidth="1"/>
    <col min="19" max="26" width="4.28515625" style="158" customWidth="1"/>
    <col min="27" max="16384" width="9.140625" style="158"/>
  </cols>
  <sheetData>
    <row r="1" spans="10:37" ht="13.5" thickBot="1">
      <c r="L1" s="4"/>
      <c r="M1" s="4"/>
    </row>
    <row r="2" spans="10:37">
      <c r="J2" s="159" t="s">
        <v>86</v>
      </c>
      <c r="K2" s="89">
        <v>85</v>
      </c>
      <c r="O2" s="128" t="s">
        <v>165</v>
      </c>
      <c r="P2" s="129"/>
      <c r="Q2" s="129"/>
      <c r="R2" s="129"/>
      <c r="S2" s="129"/>
      <c r="T2" s="129"/>
      <c r="U2" s="129"/>
      <c r="V2" s="129"/>
      <c r="W2" s="129"/>
      <c r="X2" s="129"/>
      <c r="Y2" s="130"/>
      <c r="AA2" s="160" t="s">
        <v>145</v>
      </c>
      <c r="AB2" s="161"/>
      <c r="AC2" s="161"/>
      <c r="AD2" s="161"/>
      <c r="AE2" s="162"/>
      <c r="AF2" s="162"/>
      <c r="AG2" s="162"/>
      <c r="AH2" s="162"/>
      <c r="AI2" s="162"/>
      <c r="AJ2" s="162"/>
      <c r="AK2" s="162"/>
    </row>
    <row r="3" spans="10:37">
      <c r="J3" s="159"/>
      <c r="K3" s="159"/>
      <c r="O3" s="97"/>
      <c r="P3" s="36"/>
      <c r="Q3" s="36"/>
      <c r="R3" s="98" t="s">
        <v>94</v>
      </c>
      <c r="S3" s="99">
        <f t="shared" ref="S3:X3" si="0">T3-0.125*$Y$3</f>
        <v>21.25</v>
      </c>
      <c r="T3" s="99">
        <f t="shared" si="0"/>
        <v>31.875</v>
      </c>
      <c r="U3" s="99">
        <f t="shared" si="0"/>
        <v>42.5</v>
      </c>
      <c r="V3" s="99">
        <f t="shared" si="0"/>
        <v>53.125</v>
      </c>
      <c r="W3" s="99">
        <f t="shared" si="0"/>
        <v>63.75</v>
      </c>
      <c r="X3" s="99">
        <f t="shared" si="0"/>
        <v>74.375</v>
      </c>
      <c r="Y3" s="100">
        <f>$K$2</f>
        <v>85</v>
      </c>
      <c r="AA3" s="158" t="s">
        <v>179</v>
      </c>
      <c r="AB3" s="161"/>
      <c r="AC3" s="161"/>
      <c r="AD3" s="161"/>
      <c r="AE3" s="162"/>
      <c r="AF3" s="162"/>
      <c r="AG3" s="162"/>
      <c r="AH3" s="162"/>
      <c r="AI3" s="162"/>
      <c r="AJ3" s="162"/>
      <c r="AK3" s="162"/>
    </row>
    <row r="4" spans="10:37">
      <c r="J4" s="159"/>
      <c r="K4" s="4" t="s">
        <v>91</v>
      </c>
      <c r="L4" s="4" t="s">
        <v>92</v>
      </c>
      <c r="M4" s="4" t="s">
        <v>93</v>
      </c>
      <c r="O4" s="97"/>
      <c r="P4" s="36" t="s">
        <v>103</v>
      </c>
      <c r="Q4" s="36" t="s">
        <v>104</v>
      </c>
      <c r="R4" s="98"/>
      <c r="S4" s="99"/>
      <c r="T4" s="99"/>
      <c r="U4" s="99"/>
      <c r="V4" s="99"/>
      <c r="W4" s="99"/>
      <c r="X4" s="99"/>
      <c r="Y4" s="100"/>
      <c r="AA4" s="163" t="s">
        <v>159</v>
      </c>
      <c r="AB4" s="161"/>
      <c r="AC4" s="161"/>
      <c r="AD4" s="161"/>
      <c r="AE4" s="162"/>
      <c r="AF4" s="162"/>
      <c r="AG4" s="162"/>
      <c r="AH4" s="162"/>
      <c r="AI4" s="162"/>
      <c r="AJ4" s="162"/>
      <c r="AK4" s="162"/>
    </row>
    <row r="5" spans="10:37" ht="13.5" thickBot="1">
      <c r="J5" s="159" t="s">
        <v>102</v>
      </c>
      <c r="K5" s="104">
        <f>1.75*2.54</f>
        <v>4.4450000000000003</v>
      </c>
      <c r="L5" s="104">
        <f>2.5*2.54</f>
        <v>6.35</v>
      </c>
      <c r="M5" s="104">
        <f>3*2.54</f>
        <v>7.62</v>
      </c>
      <c r="O5" s="97"/>
      <c r="P5" s="105" t="s">
        <v>107</v>
      </c>
      <c r="Q5" s="105" t="s">
        <v>107</v>
      </c>
      <c r="R5" s="131"/>
      <c r="S5" s="106" t="s">
        <v>108</v>
      </c>
      <c r="T5" s="107"/>
      <c r="U5" s="107"/>
      <c r="V5" s="107"/>
      <c r="W5" s="107"/>
      <c r="X5" s="107"/>
      <c r="Y5" s="108"/>
      <c r="AA5" s="158" t="s">
        <v>178</v>
      </c>
      <c r="AB5" s="161"/>
      <c r="AC5" s="161"/>
      <c r="AD5" s="161"/>
      <c r="AE5" s="162"/>
      <c r="AF5" s="162"/>
      <c r="AG5" s="162"/>
      <c r="AH5" s="162"/>
      <c r="AI5" s="162"/>
      <c r="AJ5" s="162"/>
      <c r="AK5" s="162"/>
    </row>
    <row r="6" spans="10:37">
      <c r="J6" s="159" t="s">
        <v>106</v>
      </c>
      <c r="K6" s="104">
        <f>2.54*33</f>
        <v>83.820000000000007</v>
      </c>
      <c r="L6" s="104">
        <f>11*2.54</f>
        <v>27.94</v>
      </c>
      <c r="M6" s="104">
        <f>10*2.54</f>
        <v>25.4</v>
      </c>
      <c r="O6" s="132" t="s">
        <v>91</v>
      </c>
      <c r="P6" s="111">
        <f>$K$9</f>
        <v>25</v>
      </c>
      <c r="Q6" s="112">
        <f t="shared" ref="Q6:Q12" si="1">ASIN(SIN($P6*PI()/180)*SIN($K$8*PI()/180)/SIN($K$9*PI()/180))*180/PI()</f>
        <v>35</v>
      </c>
      <c r="R6" s="94"/>
      <c r="S6" s="93">
        <f t="shared" ref="S6:Y12" si="2">1.7*10^-5*$K$5^2*$K$6*S$3^2*TAN($P6*PI()/180)*SIN($P6*PI()/180)/TAN($Q6*PI()/180)/2</f>
        <v>1.7890480584200361</v>
      </c>
      <c r="T6" s="93">
        <f t="shared" si="2"/>
        <v>4.0253581314450813</v>
      </c>
      <c r="U6" s="93">
        <f t="shared" si="2"/>
        <v>7.1561922336801445</v>
      </c>
      <c r="V6" s="93">
        <f t="shared" si="2"/>
        <v>11.181550365125227</v>
      </c>
      <c r="W6" s="93">
        <f t="shared" si="2"/>
        <v>16.101432525780325</v>
      </c>
      <c r="X6" s="93">
        <f t="shared" si="2"/>
        <v>21.915838715645442</v>
      </c>
      <c r="Y6" s="113">
        <f t="shared" si="2"/>
        <v>28.624768934720578</v>
      </c>
      <c r="AA6" s="158" t="s">
        <v>160</v>
      </c>
      <c r="AB6" s="161"/>
      <c r="AC6" s="161"/>
      <c r="AD6" s="161"/>
      <c r="AE6" s="162"/>
      <c r="AF6" s="162"/>
      <c r="AG6" s="162"/>
      <c r="AH6" s="162"/>
      <c r="AI6" s="162"/>
      <c r="AJ6" s="162"/>
      <c r="AK6" s="162"/>
    </row>
    <row r="7" spans="10:37">
      <c r="J7" s="164" t="s">
        <v>141</v>
      </c>
      <c r="K7" s="109">
        <v>69</v>
      </c>
      <c r="L7" s="109">
        <v>69</v>
      </c>
      <c r="M7" s="109">
        <v>120</v>
      </c>
      <c r="O7" s="97"/>
      <c r="P7" s="36">
        <f t="shared" ref="P7:P12" si="3">P6-0.15*$P$6</f>
        <v>21.25</v>
      </c>
      <c r="Q7" s="36">
        <f t="shared" si="1"/>
        <v>29.465539031527076</v>
      </c>
      <c r="R7" s="133"/>
      <c r="S7" s="36">
        <f t="shared" si="2"/>
        <v>1.5857823834284666</v>
      </c>
      <c r="T7" s="36">
        <f t="shared" si="2"/>
        <v>3.5680103627140496</v>
      </c>
      <c r="U7" s="36">
        <f t="shared" si="2"/>
        <v>6.3431295337138662</v>
      </c>
      <c r="V7" s="36">
        <f t="shared" si="2"/>
        <v>9.9111398964279172</v>
      </c>
      <c r="W7" s="36">
        <f t="shared" si="2"/>
        <v>14.272041450856198</v>
      </c>
      <c r="X7" s="36">
        <f t="shared" si="2"/>
        <v>19.425834196998718</v>
      </c>
      <c r="Y7" s="37">
        <f t="shared" si="2"/>
        <v>25.372518134855465</v>
      </c>
      <c r="AA7" s="158" t="s">
        <v>180</v>
      </c>
      <c r="AB7" s="161"/>
      <c r="AC7" s="161"/>
      <c r="AD7" s="161"/>
      <c r="AE7" s="162"/>
      <c r="AF7" s="162"/>
      <c r="AG7" s="162"/>
      <c r="AH7" s="162"/>
      <c r="AI7" s="162"/>
      <c r="AJ7" s="162"/>
      <c r="AK7" s="162"/>
    </row>
    <row r="8" spans="10:37">
      <c r="J8" s="159" t="s">
        <v>162</v>
      </c>
      <c r="K8" s="115">
        <v>35</v>
      </c>
      <c r="L8" s="115">
        <v>35</v>
      </c>
      <c r="M8" s="115">
        <v>50</v>
      </c>
      <c r="O8" s="97"/>
      <c r="P8" s="36">
        <f t="shared" si="3"/>
        <v>17.5</v>
      </c>
      <c r="Q8" s="36">
        <f t="shared" si="1"/>
        <v>24.086611918329176</v>
      </c>
      <c r="R8" s="133"/>
      <c r="S8" s="36">
        <f t="shared" si="2"/>
        <v>1.3481695509324296</v>
      </c>
      <c r="T8" s="36">
        <f t="shared" si="2"/>
        <v>3.0333814895979669</v>
      </c>
      <c r="U8" s="36">
        <f t="shared" si="2"/>
        <v>5.3926782037297185</v>
      </c>
      <c r="V8" s="36">
        <f t="shared" si="2"/>
        <v>8.4260596933276855</v>
      </c>
      <c r="W8" s="36">
        <f t="shared" si="2"/>
        <v>12.133525958391868</v>
      </c>
      <c r="X8" s="36">
        <f t="shared" si="2"/>
        <v>16.515076998922265</v>
      </c>
      <c r="Y8" s="37">
        <f t="shared" si="2"/>
        <v>21.570712814918874</v>
      </c>
      <c r="AA8" s="158" t="s">
        <v>161</v>
      </c>
      <c r="AB8" s="161"/>
      <c r="AC8" s="161"/>
      <c r="AD8" s="161"/>
      <c r="AE8" s="162"/>
      <c r="AF8" s="162"/>
      <c r="AG8" s="162"/>
      <c r="AH8" s="162"/>
      <c r="AI8" s="162"/>
      <c r="AJ8" s="162"/>
      <c r="AK8" s="162"/>
    </row>
    <row r="9" spans="10:37">
      <c r="J9" s="159" t="s">
        <v>163</v>
      </c>
      <c r="K9" s="117">
        <v>25</v>
      </c>
      <c r="L9" s="117">
        <v>25</v>
      </c>
      <c r="M9" s="117">
        <v>35</v>
      </c>
      <c r="O9" s="97"/>
      <c r="P9" s="36">
        <f t="shared" si="3"/>
        <v>13.75</v>
      </c>
      <c r="Q9" s="36">
        <f t="shared" si="1"/>
        <v>18.81942940296771</v>
      </c>
      <c r="R9" s="133"/>
      <c r="S9" s="36">
        <f t="shared" si="2"/>
        <v>1.0848135030369643</v>
      </c>
      <c r="T9" s="36">
        <f t="shared" si="2"/>
        <v>2.4408303818331691</v>
      </c>
      <c r="U9" s="36">
        <f t="shared" si="2"/>
        <v>4.3392540121478573</v>
      </c>
      <c r="V9" s="36">
        <f t="shared" si="2"/>
        <v>6.7800843939810269</v>
      </c>
      <c r="W9" s="36">
        <f t="shared" si="2"/>
        <v>9.7633215273326766</v>
      </c>
      <c r="X9" s="36">
        <f t="shared" si="2"/>
        <v>13.288965412202813</v>
      </c>
      <c r="Y9" s="37">
        <f t="shared" si="2"/>
        <v>17.357016048591429</v>
      </c>
      <c r="AA9" s="158" t="s">
        <v>158</v>
      </c>
      <c r="AB9" s="161"/>
      <c r="AC9" s="161"/>
      <c r="AD9" s="161"/>
      <c r="AE9" s="162"/>
      <c r="AF9" s="162"/>
      <c r="AG9" s="162"/>
      <c r="AH9" s="162"/>
      <c r="AI9" s="162"/>
      <c r="AJ9" s="162"/>
      <c r="AK9" s="162"/>
    </row>
    <row r="10" spans="10:37">
      <c r="O10" s="97"/>
      <c r="P10" s="36">
        <f t="shared" si="3"/>
        <v>10</v>
      </c>
      <c r="Q10" s="36">
        <f t="shared" si="1"/>
        <v>13.631407243516309</v>
      </c>
      <c r="R10" s="133"/>
      <c r="S10" s="36">
        <f t="shared" si="2"/>
        <v>0.80259211292617627</v>
      </c>
      <c r="T10" s="36">
        <f t="shared" si="2"/>
        <v>1.805832254083896</v>
      </c>
      <c r="U10" s="36">
        <f t="shared" si="2"/>
        <v>3.2103684517047051</v>
      </c>
      <c r="V10" s="36">
        <f t="shared" si="2"/>
        <v>5.0162007057886004</v>
      </c>
      <c r="W10" s="36">
        <f t="shared" si="2"/>
        <v>7.2233290163355841</v>
      </c>
      <c r="X10" s="36">
        <f t="shared" si="2"/>
        <v>9.8317533833456565</v>
      </c>
      <c r="Y10" s="37">
        <f t="shared" si="2"/>
        <v>12.84147380681882</v>
      </c>
      <c r="Z10" s="4"/>
      <c r="AA10" s="158" t="s">
        <v>164</v>
      </c>
      <c r="AB10" s="161"/>
      <c r="AC10" s="161"/>
      <c r="AD10" s="161"/>
      <c r="AE10" s="162"/>
      <c r="AF10" s="162"/>
      <c r="AG10" s="162"/>
      <c r="AH10" s="162"/>
      <c r="AI10" s="162"/>
      <c r="AJ10" s="162"/>
      <c r="AK10" s="162"/>
    </row>
    <row r="11" spans="10:37">
      <c r="J11" s="159" t="s">
        <v>129</v>
      </c>
      <c r="K11" s="134">
        <f>MAX(Y6:Y12)</f>
        <v>28.624768934720578</v>
      </c>
      <c r="L11" s="134">
        <f>MAX(Y13:Y19)</f>
        <v>19.47263192838134</v>
      </c>
      <c r="M11" s="134">
        <f>MAX(Y20:Y26)</f>
        <v>30.523339690895135</v>
      </c>
      <c r="O11" s="97"/>
      <c r="P11" s="36">
        <f t="shared" si="3"/>
        <v>6.25</v>
      </c>
      <c r="Q11" s="36">
        <f t="shared" si="1"/>
        <v>8.4967810838025226</v>
      </c>
      <c r="R11" s="133"/>
      <c r="S11" s="36">
        <f t="shared" si="2"/>
        <v>0.50731371138995629</v>
      </c>
      <c r="T11" s="36">
        <f t="shared" si="2"/>
        <v>1.1414558506274017</v>
      </c>
      <c r="U11" s="36">
        <f t="shared" si="2"/>
        <v>2.0292548455598252</v>
      </c>
      <c r="V11" s="36">
        <f t="shared" si="2"/>
        <v>3.1707106961872267</v>
      </c>
      <c r="W11" s="36">
        <f t="shared" si="2"/>
        <v>4.5658234025096069</v>
      </c>
      <c r="X11" s="36">
        <f t="shared" si="2"/>
        <v>6.2145929645269646</v>
      </c>
      <c r="Y11" s="37">
        <f t="shared" si="2"/>
        <v>8.1170193822393006</v>
      </c>
      <c r="AA11" s="158" t="s">
        <v>181</v>
      </c>
      <c r="AB11" s="161"/>
      <c r="AC11" s="161"/>
      <c r="AD11" s="161"/>
      <c r="AE11" s="162"/>
      <c r="AF11" s="162"/>
      <c r="AG11" s="162"/>
      <c r="AH11" s="162"/>
      <c r="AI11" s="162"/>
      <c r="AJ11" s="162"/>
      <c r="AK11" s="162"/>
    </row>
    <row r="12" spans="10:37" ht="13.5" thickBot="1">
      <c r="O12" s="119"/>
      <c r="P12" s="36">
        <f t="shared" si="3"/>
        <v>2.5</v>
      </c>
      <c r="Q12" s="50">
        <f t="shared" si="1"/>
        <v>3.3939015324331203</v>
      </c>
      <c r="R12" s="135"/>
      <c r="S12" s="50">
        <f t="shared" si="2"/>
        <v>0.20413416067303525</v>
      </c>
      <c r="T12" s="50">
        <f t="shared" si="2"/>
        <v>0.45930186151432928</v>
      </c>
      <c r="U12" s="50">
        <f t="shared" si="2"/>
        <v>0.81653664269214099</v>
      </c>
      <c r="V12" s="50">
        <f t="shared" si="2"/>
        <v>1.2758385042064704</v>
      </c>
      <c r="W12" s="50">
        <f t="shared" si="2"/>
        <v>1.8372074460573171</v>
      </c>
      <c r="X12" s="50">
        <f t="shared" si="2"/>
        <v>2.5006434682446819</v>
      </c>
      <c r="Y12" s="51">
        <f t="shared" si="2"/>
        <v>3.266146570768564</v>
      </c>
      <c r="AA12" s="158" t="s">
        <v>182</v>
      </c>
      <c r="AB12" s="161"/>
      <c r="AC12" s="161"/>
      <c r="AD12" s="161"/>
      <c r="AE12" s="162"/>
      <c r="AF12" s="162"/>
      <c r="AG12" s="162"/>
      <c r="AH12" s="162"/>
      <c r="AI12" s="162"/>
      <c r="AJ12" s="162"/>
      <c r="AK12" s="162"/>
    </row>
    <row r="13" spans="10:37">
      <c r="O13" s="132" t="s">
        <v>92</v>
      </c>
      <c r="P13" s="111">
        <f>$L$9</f>
        <v>25</v>
      </c>
      <c r="Q13" s="112">
        <f t="shared" ref="Q13:Q19" si="4">ASIN(SIN($P13*PI()/180)*SIN($L$8*PI()/180)/SIN($L$9*PI()/180))*180/PI()</f>
        <v>35</v>
      </c>
      <c r="R13" s="94"/>
      <c r="S13" s="93">
        <f t="shared" ref="S13:Y19" si="5">1.7*10^-5*$L$5^2*$L$6*S$3^2*TAN($P13*PI()/180)*SIN($P13*PI()/180)/TAN($Q13*PI()/180)/2</f>
        <v>1.2170394955238337</v>
      </c>
      <c r="T13" s="93">
        <f t="shared" si="5"/>
        <v>2.7383388649286258</v>
      </c>
      <c r="U13" s="93">
        <f t="shared" si="5"/>
        <v>4.8681579820953349</v>
      </c>
      <c r="V13" s="93">
        <f t="shared" si="5"/>
        <v>7.6064968470239602</v>
      </c>
      <c r="W13" s="93">
        <f t="shared" si="5"/>
        <v>10.953355459714503</v>
      </c>
      <c r="X13" s="93">
        <f t="shared" si="5"/>
        <v>14.908733820166962</v>
      </c>
      <c r="Y13" s="113">
        <f t="shared" si="5"/>
        <v>19.47263192838134</v>
      </c>
      <c r="AA13" s="158" t="s">
        <v>183</v>
      </c>
      <c r="AB13" s="161"/>
      <c r="AC13" s="161"/>
      <c r="AD13" s="161"/>
      <c r="AE13" s="162"/>
      <c r="AF13" s="162"/>
      <c r="AG13" s="162"/>
      <c r="AH13" s="162"/>
      <c r="AI13" s="162"/>
      <c r="AJ13" s="162"/>
      <c r="AK13" s="162"/>
    </row>
    <row r="14" spans="10:37">
      <c r="O14" s="97"/>
      <c r="P14" s="36">
        <f t="shared" ref="P14:P19" si="6">P13-0.15*$P$13</f>
        <v>21.25</v>
      </c>
      <c r="Q14" s="36">
        <f t="shared" si="4"/>
        <v>29.465539031527076</v>
      </c>
      <c r="R14" s="133"/>
      <c r="S14" s="36">
        <f t="shared" si="5"/>
        <v>1.0787635261418136</v>
      </c>
      <c r="T14" s="36">
        <f t="shared" si="5"/>
        <v>2.4272179338190805</v>
      </c>
      <c r="U14" s="36">
        <f t="shared" si="5"/>
        <v>4.3150541045672544</v>
      </c>
      <c r="V14" s="36">
        <f t="shared" si="5"/>
        <v>6.7422720383863348</v>
      </c>
      <c r="W14" s="36">
        <f t="shared" si="5"/>
        <v>9.7088717352763219</v>
      </c>
      <c r="X14" s="36">
        <f t="shared" si="5"/>
        <v>13.214853195237216</v>
      </c>
      <c r="Y14" s="37">
        <f t="shared" si="5"/>
        <v>17.260216418269017</v>
      </c>
      <c r="AB14" s="161"/>
      <c r="AC14" s="161"/>
      <c r="AD14" s="161"/>
      <c r="AE14" s="162"/>
      <c r="AF14" s="162"/>
      <c r="AG14" s="162"/>
      <c r="AH14" s="162"/>
      <c r="AI14" s="162"/>
      <c r="AJ14" s="162"/>
      <c r="AK14" s="162"/>
    </row>
    <row r="15" spans="10:37">
      <c r="O15" s="97"/>
      <c r="P15" s="36">
        <f t="shared" si="6"/>
        <v>17.5</v>
      </c>
      <c r="Q15" s="36">
        <f t="shared" si="4"/>
        <v>24.086611918329176</v>
      </c>
      <c r="R15" s="133"/>
      <c r="S15" s="36">
        <f t="shared" si="5"/>
        <v>0.91712214349144827</v>
      </c>
      <c r="T15" s="36">
        <f t="shared" si="5"/>
        <v>2.0635248228557583</v>
      </c>
      <c r="U15" s="36">
        <f t="shared" si="5"/>
        <v>3.6684885739657931</v>
      </c>
      <c r="V15" s="36">
        <f t="shared" si="5"/>
        <v>5.732013396821551</v>
      </c>
      <c r="W15" s="36">
        <f t="shared" si="5"/>
        <v>8.2540992914230333</v>
      </c>
      <c r="X15" s="36">
        <f t="shared" si="5"/>
        <v>11.234746257770242</v>
      </c>
      <c r="Y15" s="37">
        <f t="shared" si="5"/>
        <v>14.673954295863172</v>
      </c>
      <c r="AA15" s="165" t="s">
        <v>146</v>
      </c>
      <c r="AB15" s="161"/>
      <c r="AC15" s="161"/>
      <c r="AD15" s="161"/>
      <c r="AE15" s="162"/>
      <c r="AF15" s="162"/>
      <c r="AG15" s="162"/>
      <c r="AH15" s="162"/>
      <c r="AI15" s="162"/>
      <c r="AJ15" s="162"/>
      <c r="AK15" s="162"/>
    </row>
    <row r="16" spans="10:37">
      <c r="O16" s="97"/>
      <c r="P16" s="36">
        <f t="shared" si="6"/>
        <v>13.75</v>
      </c>
      <c r="Q16" s="36">
        <f t="shared" si="4"/>
        <v>18.81942940296771</v>
      </c>
      <c r="R16" s="133"/>
      <c r="S16" s="36">
        <f t="shared" si="5"/>
        <v>0.73796836941290045</v>
      </c>
      <c r="T16" s="36">
        <f t="shared" si="5"/>
        <v>1.6604288311790261</v>
      </c>
      <c r="U16" s="36">
        <f t="shared" si="5"/>
        <v>2.9518734776516018</v>
      </c>
      <c r="V16" s="36">
        <f t="shared" si="5"/>
        <v>4.6123023088306283</v>
      </c>
      <c r="W16" s="36">
        <f t="shared" si="5"/>
        <v>6.6417153247161043</v>
      </c>
      <c r="X16" s="36">
        <f t="shared" si="5"/>
        <v>9.0401125253080306</v>
      </c>
      <c r="Y16" s="37">
        <f t="shared" si="5"/>
        <v>11.807493910606407</v>
      </c>
      <c r="AA16" s="163" t="s">
        <v>184</v>
      </c>
      <c r="AB16" s="161"/>
      <c r="AC16" s="161"/>
      <c r="AD16" s="161"/>
      <c r="AE16" s="162"/>
      <c r="AF16" s="162"/>
      <c r="AG16" s="162"/>
      <c r="AH16" s="162"/>
      <c r="AI16" s="162"/>
      <c r="AJ16" s="162"/>
      <c r="AK16" s="162"/>
    </row>
    <row r="17" spans="15:37">
      <c r="O17" s="97"/>
      <c r="P17" s="36">
        <f t="shared" si="6"/>
        <v>10</v>
      </c>
      <c r="Q17" s="36">
        <f t="shared" si="4"/>
        <v>13.631407243516309</v>
      </c>
      <c r="R17" s="133"/>
      <c r="S17" s="36">
        <f t="shared" si="5"/>
        <v>0.54598102920148006</v>
      </c>
      <c r="T17" s="36">
        <f t="shared" si="5"/>
        <v>1.2284573157033301</v>
      </c>
      <c r="U17" s="36">
        <f t="shared" si="5"/>
        <v>2.1839241168059202</v>
      </c>
      <c r="V17" s="36">
        <f t="shared" si="5"/>
        <v>3.4123814325092505</v>
      </c>
      <c r="W17" s="36">
        <f t="shared" si="5"/>
        <v>4.9138292628133202</v>
      </c>
      <c r="X17" s="36">
        <f t="shared" si="5"/>
        <v>6.6882676077181307</v>
      </c>
      <c r="Y17" s="37">
        <f t="shared" si="5"/>
        <v>8.735696467223681</v>
      </c>
      <c r="AA17" s="163" t="s">
        <v>185</v>
      </c>
      <c r="AB17" s="161"/>
      <c r="AC17" s="161"/>
      <c r="AD17" s="161"/>
      <c r="AE17" s="162"/>
      <c r="AF17" s="162"/>
      <c r="AG17" s="162"/>
      <c r="AH17" s="162"/>
      <c r="AI17" s="162"/>
      <c r="AJ17" s="162"/>
      <c r="AK17" s="162"/>
    </row>
    <row r="18" spans="15:37">
      <c r="O18" s="97"/>
      <c r="P18" s="36">
        <f t="shared" si="6"/>
        <v>6.25</v>
      </c>
      <c r="Q18" s="36">
        <f t="shared" si="4"/>
        <v>8.4967810838025226</v>
      </c>
      <c r="R18" s="133"/>
      <c r="S18" s="36">
        <f t="shared" si="5"/>
        <v>0.34511136829248706</v>
      </c>
      <c r="T18" s="36">
        <f t="shared" si="5"/>
        <v>0.77650057865809585</v>
      </c>
      <c r="U18" s="36">
        <f t="shared" si="5"/>
        <v>1.3804454731699483</v>
      </c>
      <c r="V18" s="36">
        <f t="shared" si="5"/>
        <v>2.1569460518280446</v>
      </c>
      <c r="W18" s="36">
        <f t="shared" si="5"/>
        <v>3.1060023146323834</v>
      </c>
      <c r="X18" s="36">
        <f t="shared" si="5"/>
        <v>4.2276142615829668</v>
      </c>
      <c r="Y18" s="37">
        <f t="shared" si="5"/>
        <v>5.521781892679793</v>
      </c>
      <c r="AA18" s="163" t="s">
        <v>186</v>
      </c>
      <c r="AB18" s="161"/>
      <c r="AC18" s="161"/>
      <c r="AD18" s="161"/>
      <c r="AE18" s="162"/>
      <c r="AF18" s="162"/>
      <c r="AG18" s="162"/>
      <c r="AH18" s="162"/>
      <c r="AI18" s="162"/>
      <c r="AJ18" s="162"/>
      <c r="AK18" s="162"/>
    </row>
    <row r="19" spans="15:37" ht="13.5" thickBot="1">
      <c r="O19" s="119"/>
      <c r="P19" s="36">
        <f t="shared" si="6"/>
        <v>2.5</v>
      </c>
      <c r="Q19" s="50">
        <f t="shared" si="4"/>
        <v>3.3939015324331203</v>
      </c>
      <c r="R19" s="135"/>
      <c r="S19" s="50">
        <f t="shared" si="5"/>
        <v>0.13886677596805114</v>
      </c>
      <c r="T19" s="50">
        <f t="shared" si="5"/>
        <v>0.31245024592811499</v>
      </c>
      <c r="U19" s="50">
        <f t="shared" si="5"/>
        <v>0.55546710387220455</v>
      </c>
      <c r="V19" s="50">
        <f t="shared" si="5"/>
        <v>0.86791734980031943</v>
      </c>
      <c r="W19" s="50">
        <f t="shared" si="5"/>
        <v>1.24980098371246</v>
      </c>
      <c r="X19" s="50">
        <f t="shared" si="5"/>
        <v>1.7011180056086264</v>
      </c>
      <c r="Y19" s="51">
        <f t="shared" si="5"/>
        <v>2.2218684154888182</v>
      </c>
      <c r="AA19" s="163" t="s">
        <v>187</v>
      </c>
      <c r="AB19" s="161"/>
      <c r="AC19" s="161"/>
      <c r="AD19" s="161"/>
      <c r="AE19" s="162"/>
      <c r="AF19" s="162"/>
      <c r="AG19" s="162"/>
      <c r="AH19" s="162"/>
      <c r="AI19" s="162"/>
      <c r="AJ19" s="162"/>
      <c r="AK19" s="162"/>
    </row>
    <row r="20" spans="15:37">
      <c r="O20" s="132" t="s">
        <v>93</v>
      </c>
      <c r="P20" s="111">
        <f>$M$9</f>
        <v>35</v>
      </c>
      <c r="Q20" s="112">
        <f t="shared" ref="Q20:Q26" si="7">ASIN(SIN($P20*PI()/180)*SIN($M$8*PI()/180)/SIN($M$9*PI()/180))*180/PI()</f>
        <v>49.999999999999993</v>
      </c>
      <c r="R20" s="94"/>
      <c r="S20" s="93">
        <f t="shared" ref="S20:Y26" si="8">1.7*10^-5*$M$5^2*$M$6*S$3^2*TAN($P20*PI()/180)*SIN($P20*PI()/180)/TAN($Q20*PI()/180)/2</f>
        <v>1.9077087306809459</v>
      </c>
      <c r="T20" s="93">
        <f t="shared" si="8"/>
        <v>4.292344644032128</v>
      </c>
      <c r="U20" s="93">
        <f t="shared" si="8"/>
        <v>7.6308349227237837</v>
      </c>
      <c r="V20" s="93">
        <f t="shared" si="8"/>
        <v>11.923179566755913</v>
      </c>
      <c r="W20" s="93">
        <f t="shared" si="8"/>
        <v>17.169378576128512</v>
      </c>
      <c r="X20" s="93">
        <f t="shared" si="8"/>
        <v>23.369431950841591</v>
      </c>
      <c r="Y20" s="113">
        <f t="shared" si="8"/>
        <v>30.523339690895135</v>
      </c>
      <c r="AA20" s="163" t="s">
        <v>188</v>
      </c>
      <c r="AB20" s="161"/>
      <c r="AC20" s="161"/>
      <c r="AD20" s="161"/>
      <c r="AE20" s="162"/>
      <c r="AF20" s="162"/>
      <c r="AG20" s="162"/>
      <c r="AH20" s="162"/>
      <c r="AI20" s="162"/>
      <c r="AJ20" s="162"/>
      <c r="AK20" s="162"/>
    </row>
    <row r="21" spans="15:37">
      <c r="O21" s="97"/>
      <c r="P21" s="36">
        <f t="shared" ref="P21:P26" si="9">P20-0.15*$P$20</f>
        <v>29.75</v>
      </c>
      <c r="Q21" s="36">
        <f t="shared" si="7"/>
        <v>41.508089621620798</v>
      </c>
      <c r="R21" s="133"/>
      <c r="S21" s="36">
        <f t="shared" si="8"/>
        <v>1.8141437184461888</v>
      </c>
      <c r="T21" s="36">
        <f t="shared" si="8"/>
        <v>4.0818233665039241</v>
      </c>
      <c r="U21" s="36">
        <f t="shared" si="8"/>
        <v>7.2565748737847553</v>
      </c>
      <c r="V21" s="36">
        <f t="shared" si="8"/>
        <v>11.338398240288679</v>
      </c>
      <c r="W21" s="36">
        <f t="shared" si="8"/>
        <v>16.327293466015696</v>
      </c>
      <c r="X21" s="36">
        <f t="shared" si="8"/>
        <v>22.223260550965808</v>
      </c>
      <c r="Y21" s="37">
        <f t="shared" si="8"/>
        <v>29.026299495139021</v>
      </c>
      <c r="AB21" s="161"/>
      <c r="AC21" s="161"/>
      <c r="AD21" s="161"/>
      <c r="AE21" s="162"/>
      <c r="AF21" s="162"/>
      <c r="AG21" s="162"/>
      <c r="AH21" s="162"/>
      <c r="AI21" s="162"/>
      <c r="AJ21" s="162"/>
      <c r="AK21" s="162"/>
    </row>
    <row r="22" spans="15:37">
      <c r="O22" s="97"/>
      <c r="P22" s="36">
        <f t="shared" si="9"/>
        <v>24.5</v>
      </c>
      <c r="Q22" s="36">
        <f t="shared" si="7"/>
        <v>33.631319549729028</v>
      </c>
      <c r="R22" s="133"/>
      <c r="S22" s="36">
        <f t="shared" si="8"/>
        <v>1.6083033094439083</v>
      </c>
      <c r="T22" s="36">
        <f t="shared" si="8"/>
        <v>3.6186824462487945</v>
      </c>
      <c r="U22" s="36">
        <f t="shared" si="8"/>
        <v>6.4332132377756333</v>
      </c>
      <c r="V22" s="36">
        <f t="shared" si="8"/>
        <v>10.051895684024428</v>
      </c>
      <c r="W22" s="36">
        <f t="shared" si="8"/>
        <v>14.474729784995178</v>
      </c>
      <c r="X22" s="36">
        <f t="shared" si="8"/>
        <v>19.701715540687879</v>
      </c>
      <c r="Y22" s="37">
        <f t="shared" si="8"/>
        <v>25.732852951102533</v>
      </c>
      <c r="AA22" s="165" t="s">
        <v>189</v>
      </c>
      <c r="AB22" s="161"/>
      <c r="AC22" s="161"/>
      <c r="AD22" s="162"/>
      <c r="AE22" s="162"/>
      <c r="AF22" s="162"/>
      <c r="AG22" s="162"/>
      <c r="AH22" s="162"/>
      <c r="AI22" s="162"/>
      <c r="AJ22" s="162"/>
      <c r="AK22" s="162"/>
    </row>
    <row r="23" spans="15:37">
      <c r="O23" s="97"/>
      <c r="P23" s="36">
        <f t="shared" si="9"/>
        <v>19.25</v>
      </c>
      <c r="Q23" s="36">
        <f t="shared" si="7"/>
        <v>26.124356950275221</v>
      </c>
      <c r="R23" s="133"/>
      <c r="S23" s="36">
        <f t="shared" si="8"/>
        <v>1.3289561298781969</v>
      </c>
      <c r="T23" s="36">
        <f t="shared" si="8"/>
        <v>2.9901512922259434</v>
      </c>
      <c r="U23" s="36">
        <f t="shared" si="8"/>
        <v>5.3158245195127876</v>
      </c>
      <c r="V23" s="36">
        <f t="shared" si="8"/>
        <v>8.3059758117387297</v>
      </c>
      <c r="W23" s="36">
        <f t="shared" si="8"/>
        <v>11.960605168903774</v>
      </c>
      <c r="X23" s="36">
        <f t="shared" si="8"/>
        <v>16.279712591007911</v>
      </c>
      <c r="Y23" s="37">
        <f t="shared" si="8"/>
        <v>21.26329807805115</v>
      </c>
      <c r="AA23" s="163" t="s">
        <v>155</v>
      </c>
      <c r="AB23" s="161"/>
      <c r="AC23" s="161"/>
      <c r="AE23" s="162"/>
      <c r="AF23" s="162"/>
      <c r="AG23" s="162"/>
      <c r="AH23" s="162"/>
      <c r="AI23" s="162"/>
      <c r="AJ23" s="162"/>
      <c r="AK23" s="162"/>
    </row>
    <row r="24" spans="15:37">
      <c r="O24" s="97"/>
      <c r="P24" s="36">
        <f t="shared" si="9"/>
        <v>14</v>
      </c>
      <c r="Q24" s="36">
        <f t="shared" si="7"/>
        <v>18.850543548584479</v>
      </c>
      <c r="R24" s="133"/>
      <c r="S24" s="36">
        <f t="shared" si="8"/>
        <v>1.0001090001723068</v>
      </c>
      <c r="T24" s="36">
        <f t="shared" si="8"/>
        <v>2.2502452503876902</v>
      </c>
      <c r="U24" s="36">
        <f t="shared" si="8"/>
        <v>4.000436000689227</v>
      </c>
      <c r="V24" s="36">
        <f t="shared" si="8"/>
        <v>6.2506812510769176</v>
      </c>
      <c r="W24" s="36">
        <f t="shared" si="8"/>
        <v>9.0009810015507608</v>
      </c>
      <c r="X24" s="36">
        <f t="shared" si="8"/>
        <v>12.251335252110758</v>
      </c>
      <c r="Y24" s="37">
        <f t="shared" si="8"/>
        <v>16.001744002756908</v>
      </c>
      <c r="AA24" s="163" t="s">
        <v>166</v>
      </c>
      <c r="AB24" s="161"/>
      <c r="AC24" s="161"/>
      <c r="AD24" s="161"/>
      <c r="AE24" s="162"/>
      <c r="AF24" s="162"/>
      <c r="AG24" s="162"/>
      <c r="AH24" s="162"/>
      <c r="AI24" s="162"/>
      <c r="AJ24" s="162"/>
      <c r="AK24" s="162"/>
    </row>
    <row r="25" spans="15:37">
      <c r="O25" s="97"/>
      <c r="P25" s="36">
        <f t="shared" si="9"/>
        <v>8.75</v>
      </c>
      <c r="Q25" s="36">
        <f t="shared" si="7"/>
        <v>11.722368027105048</v>
      </c>
      <c r="R25" s="133"/>
      <c r="S25" s="36">
        <f t="shared" si="8"/>
        <v>0.63876972448605418</v>
      </c>
      <c r="T25" s="36">
        <f t="shared" si="8"/>
        <v>1.4372318800936219</v>
      </c>
      <c r="U25" s="36">
        <f t="shared" si="8"/>
        <v>2.5550788979442167</v>
      </c>
      <c r="V25" s="36">
        <f t="shared" si="8"/>
        <v>3.9923107780378384</v>
      </c>
      <c r="W25" s="36">
        <f t="shared" si="8"/>
        <v>5.7489275203744876</v>
      </c>
      <c r="X25" s="36">
        <f t="shared" si="8"/>
        <v>7.8249291249541617</v>
      </c>
      <c r="Y25" s="37">
        <f t="shared" si="8"/>
        <v>10.220315591776867</v>
      </c>
      <c r="AA25" s="163" t="s">
        <v>148</v>
      </c>
      <c r="AB25" s="161"/>
      <c r="AC25" s="161"/>
      <c r="AD25" s="161"/>
      <c r="AE25" s="162"/>
      <c r="AF25" s="162"/>
      <c r="AG25" s="162"/>
      <c r="AH25" s="162"/>
      <c r="AI25" s="162"/>
      <c r="AJ25" s="162"/>
      <c r="AK25" s="162"/>
    </row>
    <row r="26" spans="15:37" ht="13.5" thickBot="1">
      <c r="O26" s="119"/>
      <c r="P26" s="36">
        <f t="shared" si="9"/>
        <v>3.5</v>
      </c>
      <c r="Q26" s="50">
        <f t="shared" si="7"/>
        <v>4.6767368644501346</v>
      </c>
      <c r="R26" s="135"/>
      <c r="S26" s="50">
        <f t="shared" si="8"/>
        <v>0.25837798462255213</v>
      </c>
      <c r="T26" s="50">
        <f t="shared" si="8"/>
        <v>0.5813504654007422</v>
      </c>
      <c r="U26" s="50">
        <f t="shared" si="8"/>
        <v>1.0335119384902085</v>
      </c>
      <c r="V26" s="50">
        <f t="shared" si="8"/>
        <v>1.6148624038909507</v>
      </c>
      <c r="W26" s="50">
        <f t="shared" si="8"/>
        <v>2.3254018616029688</v>
      </c>
      <c r="X26" s="50">
        <f t="shared" si="8"/>
        <v>3.1651303116262626</v>
      </c>
      <c r="Y26" s="51">
        <f t="shared" si="8"/>
        <v>4.134047753960834</v>
      </c>
      <c r="AA26" s="163" t="s">
        <v>147</v>
      </c>
      <c r="AB26" s="161"/>
      <c r="AC26" s="161"/>
      <c r="AD26" s="161"/>
      <c r="AE26" s="162"/>
      <c r="AF26" s="162"/>
      <c r="AG26" s="162"/>
      <c r="AH26" s="162"/>
      <c r="AI26" s="162"/>
      <c r="AJ26" s="162"/>
      <c r="AK26" s="162"/>
    </row>
    <row r="27" spans="15:37" ht="13.5" thickBot="1">
      <c r="O27" s="125" t="s">
        <v>134</v>
      </c>
      <c r="P27" s="126"/>
      <c r="Q27" s="126"/>
      <c r="R27" s="126"/>
      <c r="S27" s="126"/>
      <c r="T27" s="126"/>
      <c r="U27" s="126"/>
      <c r="V27" s="126"/>
      <c r="W27" s="126"/>
      <c r="X27" s="126"/>
      <c r="Y27" s="127"/>
      <c r="AA27" s="163" t="s">
        <v>149</v>
      </c>
      <c r="AB27" s="161"/>
      <c r="AC27" s="161"/>
      <c r="AD27" s="161"/>
      <c r="AE27" s="162"/>
      <c r="AF27" s="162"/>
      <c r="AG27" s="162"/>
      <c r="AH27" s="162"/>
      <c r="AI27" s="162"/>
      <c r="AJ27" s="162"/>
      <c r="AK27" s="162"/>
    </row>
    <row r="28" spans="15:37">
      <c r="AA28" s="163" t="s">
        <v>150</v>
      </c>
      <c r="AB28" s="161"/>
      <c r="AC28" s="161"/>
      <c r="AD28" s="161"/>
      <c r="AE28" s="162"/>
      <c r="AF28" s="162"/>
      <c r="AG28" s="162"/>
      <c r="AH28" s="162"/>
      <c r="AI28" s="162"/>
      <c r="AJ28" s="162"/>
      <c r="AK28" s="162"/>
    </row>
    <row r="29" spans="15:37">
      <c r="AA29" s="163" t="s">
        <v>151</v>
      </c>
      <c r="AB29" s="161"/>
      <c r="AC29" s="161"/>
      <c r="AD29" s="161"/>
      <c r="AE29" s="162"/>
      <c r="AF29" s="162"/>
      <c r="AG29" s="162"/>
      <c r="AH29" s="162"/>
      <c r="AI29" s="162"/>
      <c r="AJ29" s="162"/>
      <c r="AK29" s="162"/>
    </row>
    <row r="30" spans="15:37">
      <c r="AA30" s="163" t="s">
        <v>152</v>
      </c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</row>
    <row r="31" spans="15:37">
      <c r="AA31" s="163" t="s">
        <v>153</v>
      </c>
      <c r="AB31" s="162"/>
      <c r="AC31" s="162"/>
      <c r="AD31" s="162"/>
      <c r="AE31" s="162"/>
      <c r="AG31" s="162"/>
      <c r="AH31" s="162"/>
      <c r="AI31" s="162"/>
      <c r="AJ31" s="162"/>
      <c r="AK31" s="162"/>
    </row>
    <row r="32" spans="15:37">
      <c r="AA32" s="163" t="s">
        <v>154</v>
      </c>
      <c r="AB32" s="162"/>
      <c r="AC32" s="162"/>
      <c r="AD32" s="162"/>
      <c r="AE32" s="162"/>
      <c r="AG32" s="162"/>
      <c r="AH32" s="162"/>
      <c r="AI32" s="162"/>
      <c r="AJ32" s="162"/>
      <c r="AK32" s="162"/>
    </row>
    <row r="33" spans="27:37" ht="14.25">
      <c r="AA33" s="163" t="s">
        <v>167</v>
      </c>
      <c r="AK33" s="162"/>
    </row>
    <row r="34" spans="27:37">
      <c r="AA34" s="162"/>
    </row>
    <row r="35" spans="27:37">
      <c r="AA35" s="166" t="s">
        <v>157</v>
      </c>
    </row>
    <row r="36" spans="27:37">
      <c r="AA36" s="166" t="s">
        <v>156</v>
      </c>
    </row>
  </sheetData>
  <sheetProtection password="CF59" sheet="1" objects="1" scenarios="1"/>
  <conditionalFormatting sqref="S6:Y12">
    <cfRule type="cellIs" dxfId="5" priority="1" stopIfTrue="1" operator="greaterThan">
      <formula>$K$7+0.5</formula>
    </cfRule>
  </conditionalFormatting>
  <conditionalFormatting sqref="S13:Y19">
    <cfRule type="cellIs" dxfId="4" priority="2" stopIfTrue="1" operator="greaterThan">
      <formula>$L$7+0.5</formula>
    </cfRule>
  </conditionalFormatting>
  <conditionalFormatting sqref="S20:Y26">
    <cfRule type="cellIs" dxfId="3" priority="3" stopIfTrue="1" operator="greaterThan">
      <formula>$M$7+0.5</formula>
    </cfRule>
  </conditionalFormatting>
  <pageMargins left="0.75" right="0.75" top="1" bottom="1" header="0.5" footer="0.5"/>
  <pageSetup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AZ45"/>
  <sheetViews>
    <sheetView zoomScale="75" workbookViewId="0">
      <selection activeCell="H2" sqref="H2"/>
    </sheetView>
  </sheetViews>
  <sheetFormatPr defaultRowHeight="12.75"/>
  <cols>
    <col min="1" max="1" width="2.7109375" style="158" customWidth="1"/>
    <col min="2" max="2" width="2.85546875" style="167" customWidth="1"/>
    <col min="3" max="5" width="10.7109375" style="4" customWidth="1"/>
    <col min="6" max="14" width="10.7109375" style="158" customWidth="1"/>
    <col min="15" max="15" width="3.28515625" style="158" customWidth="1"/>
    <col min="16" max="16" width="10.42578125" style="158" bestFit="1" customWidth="1"/>
    <col min="17" max="18" width="7.5703125" style="158" customWidth="1"/>
    <col min="19" max="19" width="4.7109375" style="4" customWidth="1"/>
    <col min="20" max="20" width="4.140625" style="168" customWidth="1"/>
    <col min="21" max="26" width="4.140625" style="158" customWidth="1"/>
    <col min="27" max="27" width="1.85546875" style="158" customWidth="1"/>
    <col min="28" max="28" width="10.42578125" style="158" customWidth="1"/>
    <col min="29" max="30" width="7.5703125" style="158" customWidth="1"/>
    <col min="31" max="31" width="4.7109375" style="4" customWidth="1"/>
    <col min="32" max="32" width="4.140625" style="168" customWidth="1"/>
    <col min="33" max="38" width="4.140625" style="158" customWidth="1"/>
    <col min="39" max="39" width="3.42578125" style="158" customWidth="1"/>
    <col min="40" max="40" width="8.5703125" style="4" customWidth="1"/>
    <col min="41" max="42" width="4.5703125" style="158" bestFit="1" customWidth="1"/>
    <col min="43" max="43" width="5.28515625" style="158" bestFit="1" customWidth="1"/>
    <col min="44" max="46" width="3.5703125" style="158" bestFit="1" customWidth="1"/>
    <col min="47" max="47" width="3.42578125" style="158" customWidth="1"/>
    <col min="48" max="48" width="6.5703125" style="160" customWidth="1"/>
    <col min="49" max="52" width="6.5703125" style="158" customWidth="1"/>
    <col min="53" max="16384" width="9.140625" style="158"/>
  </cols>
  <sheetData>
    <row r="1" spans="3:52" ht="13.5" thickBot="1">
      <c r="D1" s="158"/>
      <c r="O1" s="4"/>
    </row>
    <row r="2" spans="3:52">
      <c r="C2" s="158"/>
      <c r="D2" s="158"/>
      <c r="E2" s="158"/>
      <c r="G2" s="159" t="s">
        <v>86</v>
      </c>
      <c r="H2" s="89">
        <v>80</v>
      </c>
      <c r="I2" s="4"/>
      <c r="J2" s="4"/>
      <c r="L2" s="4"/>
      <c r="P2" s="90" t="s">
        <v>87</v>
      </c>
      <c r="Q2" s="91"/>
      <c r="R2" s="91"/>
      <c r="S2" s="91"/>
      <c r="T2" s="91"/>
      <c r="U2" s="91"/>
      <c r="V2" s="91"/>
      <c r="W2" s="91"/>
      <c r="X2" s="91"/>
      <c r="Y2" s="91"/>
      <c r="Z2" s="92"/>
      <c r="AB2" s="90" t="s">
        <v>88</v>
      </c>
      <c r="AC2" s="91"/>
      <c r="AD2" s="91"/>
      <c r="AE2" s="91"/>
      <c r="AF2" s="91"/>
      <c r="AG2" s="91"/>
      <c r="AH2" s="91"/>
      <c r="AI2" s="91"/>
      <c r="AJ2" s="91"/>
      <c r="AK2" s="91"/>
      <c r="AL2" s="92"/>
      <c r="AN2" s="90" t="s">
        <v>89</v>
      </c>
      <c r="AO2" s="93"/>
      <c r="AP2" s="93"/>
      <c r="AQ2" s="93"/>
      <c r="AR2" s="93"/>
      <c r="AS2" s="94"/>
      <c r="AT2" s="95"/>
      <c r="AV2" s="96" t="s">
        <v>90</v>
      </c>
      <c r="AW2" s="94"/>
      <c r="AX2" s="94"/>
      <c r="AY2" s="94"/>
      <c r="AZ2" s="95"/>
    </row>
    <row r="3" spans="3:52">
      <c r="C3" s="158"/>
      <c r="D3" s="158"/>
      <c r="E3" s="158"/>
      <c r="G3" s="159"/>
      <c r="H3" s="4" t="s">
        <v>91</v>
      </c>
      <c r="I3" s="4" t="s">
        <v>92</v>
      </c>
      <c r="J3" s="4" t="s">
        <v>93</v>
      </c>
      <c r="L3" s="4"/>
      <c r="M3" s="4"/>
      <c r="P3" s="97"/>
      <c r="Q3" s="36"/>
      <c r="R3" s="36"/>
      <c r="S3" s="98" t="s">
        <v>94</v>
      </c>
      <c r="T3" s="99">
        <f t="shared" ref="T3:Y3" si="0">U3-0.1*$AL$3</f>
        <v>32</v>
      </c>
      <c r="U3" s="99">
        <f t="shared" si="0"/>
        <v>40</v>
      </c>
      <c r="V3" s="99">
        <f t="shared" si="0"/>
        <v>48</v>
      </c>
      <c r="W3" s="99">
        <f t="shared" si="0"/>
        <v>56</v>
      </c>
      <c r="X3" s="99">
        <f t="shared" si="0"/>
        <v>64</v>
      </c>
      <c r="Y3" s="99">
        <f t="shared" si="0"/>
        <v>72</v>
      </c>
      <c r="Z3" s="100">
        <f>$H$2</f>
        <v>80</v>
      </c>
      <c r="AB3" s="97"/>
      <c r="AC3" s="36"/>
      <c r="AD3" s="36"/>
      <c r="AE3" s="98" t="s">
        <v>94</v>
      </c>
      <c r="AF3" s="99">
        <f t="shared" ref="AF3:AK3" si="1">AG3-0.1*$AL$3</f>
        <v>32</v>
      </c>
      <c r="AG3" s="99">
        <f t="shared" si="1"/>
        <v>40</v>
      </c>
      <c r="AH3" s="99">
        <f t="shared" si="1"/>
        <v>48</v>
      </c>
      <c r="AI3" s="99">
        <f t="shared" si="1"/>
        <v>56</v>
      </c>
      <c r="AJ3" s="99">
        <f t="shared" si="1"/>
        <v>64</v>
      </c>
      <c r="AK3" s="99">
        <f t="shared" si="1"/>
        <v>72</v>
      </c>
      <c r="AL3" s="100">
        <f>$H$2</f>
        <v>80</v>
      </c>
      <c r="AN3" s="101"/>
      <c r="AO3" s="102" t="s">
        <v>95</v>
      </c>
      <c r="AP3" s="102" t="s">
        <v>96</v>
      </c>
      <c r="AQ3" s="102" t="s">
        <v>97</v>
      </c>
      <c r="AR3" s="102" t="s">
        <v>98</v>
      </c>
      <c r="AS3" s="102" t="s">
        <v>99</v>
      </c>
      <c r="AT3" s="103"/>
      <c r="AV3" s="101"/>
      <c r="AW3" s="36" t="s">
        <v>100</v>
      </c>
      <c r="AX3" s="36" t="s">
        <v>100</v>
      </c>
      <c r="AY3" s="36" t="s">
        <v>101</v>
      </c>
      <c r="AZ3" s="37" t="s">
        <v>101</v>
      </c>
    </row>
    <row r="4" spans="3:52">
      <c r="C4" s="158"/>
      <c r="D4" s="158"/>
      <c r="E4" s="158"/>
      <c r="G4" s="159" t="s">
        <v>102</v>
      </c>
      <c r="H4" s="104">
        <v>7</v>
      </c>
      <c r="I4" s="104">
        <v>13</v>
      </c>
      <c r="J4" s="104">
        <v>18</v>
      </c>
      <c r="L4" s="4"/>
      <c r="M4" s="4"/>
      <c r="P4" s="97"/>
      <c r="Q4" s="36" t="s">
        <v>103</v>
      </c>
      <c r="R4" s="36" t="s">
        <v>104</v>
      </c>
      <c r="S4" s="36"/>
      <c r="T4" s="99"/>
      <c r="U4" s="99"/>
      <c r="V4" s="99"/>
      <c r="W4" s="99"/>
      <c r="X4" s="99"/>
      <c r="Y4" s="99"/>
      <c r="Z4" s="100"/>
      <c r="AB4" s="97"/>
      <c r="AC4" s="36" t="s">
        <v>103</v>
      </c>
      <c r="AD4" s="36" t="s">
        <v>104</v>
      </c>
      <c r="AE4" s="36"/>
      <c r="AF4" s="99"/>
      <c r="AG4" s="99"/>
      <c r="AH4" s="99"/>
      <c r="AI4" s="99"/>
      <c r="AJ4" s="99"/>
      <c r="AK4" s="99"/>
      <c r="AL4" s="100"/>
      <c r="AN4" s="101"/>
      <c r="AO4" s="35">
        <v>14</v>
      </c>
      <c r="AP4" s="35">
        <v>7</v>
      </c>
      <c r="AQ4" s="35">
        <v>10</v>
      </c>
      <c r="AR4" s="35">
        <v>2.5</v>
      </c>
      <c r="AS4" s="35">
        <v>5</v>
      </c>
      <c r="AT4" s="37"/>
      <c r="AV4" s="101"/>
      <c r="AW4" s="36" t="s">
        <v>105</v>
      </c>
      <c r="AX4" s="36" t="s">
        <v>104</v>
      </c>
      <c r="AY4" s="36" t="s">
        <v>105</v>
      </c>
      <c r="AZ4" s="37" t="s">
        <v>104</v>
      </c>
    </row>
    <row r="5" spans="3:52" ht="12.75" customHeight="1" thickBot="1">
      <c r="C5" s="158"/>
      <c r="D5" s="158"/>
      <c r="E5" s="158"/>
      <c r="G5" s="159" t="s">
        <v>106</v>
      </c>
      <c r="H5" s="104">
        <v>75</v>
      </c>
      <c r="I5" s="104">
        <v>30</v>
      </c>
      <c r="J5" s="104">
        <v>35</v>
      </c>
      <c r="L5" s="4"/>
      <c r="M5" s="4"/>
      <c r="P5" s="97"/>
      <c r="Q5" s="105" t="s">
        <v>107</v>
      </c>
      <c r="R5" s="105" t="s">
        <v>107</v>
      </c>
      <c r="S5" s="36"/>
      <c r="T5" s="106" t="s">
        <v>108</v>
      </c>
      <c r="U5" s="107"/>
      <c r="V5" s="107"/>
      <c r="W5" s="107"/>
      <c r="X5" s="107"/>
      <c r="Y5" s="107"/>
      <c r="Z5" s="108"/>
      <c r="AB5" s="97"/>
      <c r="AC5" s="105" t="s">
        <v>107</v>
      </c>
      <c r="AD5" s="105" t="s">
        <v>107</v>
      </c>
      <c r="AE5" s="36"/>
      <c r="AF5" s="106" t="s">
        <v>108</v>
      </c>
      <c r="AG5" s="107"/>
      <c r="AH5" s="107"/>
      <c r="AI5" s="107"/>
      <c r="AJ5" s="107"/>
      <c r="AK5" s="107"/>
      <c r="AL5" s="108"/>
      <c r="AN5" s="101"/>
      <c r="AO5" s="36"/>
      <c r="AP5" s="36"/>
      <c r="AQ5" s="36"/>
      <c r="AR5" s="36"/>
      <c r="AS5" s="36"/>
      <c r="AT5" s="37"/>
      <c r="AV5" s="101"/>
      <c r="AW5" s="36" t="s">
        <v>109</v>
      </c>
      <c r="AX5" s="36" t="s">
        <v>110</v>
      </c>
      <c r="AY5" s="36" t="s">
        <v>109</v>
      </c>
      <c r="AZ5" s="37" t="s">
        <v>110</v>
      </c>
    </row>
    <row r="6" spans="3:52">
      <c r="C6" s="158"/>
      <c r="D6" s="158"/>
      <c r="E6" s="158"/>
      <c r="G6" s="164" t="s">
        <v>141</v>
      </c>
      <c r="H6" s="109">
        <v>30</v>
      </c>
      <c r="I6" s="109">
        <v>60</v>
      </c>
      <c r="J6" s="109">
        <v>110</v>
      </c>
      <c r="L6" s="4"/>
      <c r="P6" s="110" t="s">
        <v>91</v>
      </c>
      <c r="Q6" s="111">
        <f>$H$9</f>
        <v>25</v>
      </c>
      <c r="R6" s="112">
        <f t="shared" ref="R6:R13" si="2">-$H$17+DEGREES(ASIN((SIN(RADIANS(90-$H$16+Q6))-SIN(RADIANS(90-$H$16)))/((SIN(RADIANS(90-$H$16+$H$9))-SIN(RADIANS(90-$H$16)))/(SIN(RADIANS($H$17+$H$7-90))-SIN(RADIANS($H$17-90))))+SIN(RADIANS($H$17-90))))+90</f>
        <v>60.000000000000007</v>
      </c>
      <c r="S6" s="112"/>
      <c r="T6" s="93">
        <f t="shared" ref="T6:Z13" si="3">0.0000085*($H$4^2*$H$5*T$3^2*SIN(RADIANS($Q6))*(COS(RADIANS($H$17+$R6-90))/COS(RADIANS(90-$H$16+$Q6)))*(SIN(RADIANS(90-$H$16+$Q6))-SIN(RADIANS(90-$H$16)))/(SIN(RADIANS($H$17+$R6-90))-SIN(RADIANS($H$17-90))))</f>
        <v>4.4202499349679201</v>
      </c>
      <c r="U6" s="93">
        <f t="shared" si="3"/>
        <v>6.9066405233873747</v>
      </c>
      <c r="V6" s="93">
        <f t="shared" si="3"/>
        <v>9.9455623536778202</v>
      </c>
      <c r="W6" s="93">
        <f t="shared" si="3"/>
        <v>13.537015425839256</v>
      </c>
      <c r="X6" s="93">
        <f t="shared" si="3"/>
        <v>17.68099973987168</v>
      </c>
      <c r="Y6" s="93">
        <f t="shared" si="3"/>
        <v>22.377515295775098</v>
      </c>
      <c r="Z6" s="113">
        <f t="shared" si="3"/>
        <v>27.626562093549499</v>
      </c>
      <c r="AB6" s="110" t="s">
        <v>91</v>
      </c>
      <c r="AC6" s="111">
        <f>$H$10</f>
        <v>15</v>
      </c>
      <c r="AD6" s="112">
        <f t="shared" ref="AD6:AD13" si="4">$H$17-DEGREES(ASIN((SIN(RADIANS(90-$H$16+-AC6))-SIN(RADIANS(90-$H$16)))/((SIN(RADIANS(90-$H$16+$H$9))-SIN(RADIANS(90-$H$16)))/(SIN(RADIANS($H$17+$H$7-90))-SIN(RADIANS($H$17-90))))+SIN(RADIANS($H$17-90))))-90</f>
        <v>40</v>
      </c>
      <c r="AE6" s="112"/>
      <c r="AF6" s="93">
        <f t="shared" ref="AF6:AL13" si="5">0.0000085*($H$4^2*$H$5*AF$3^2*SIN(RADIANS($AC6))*(COS(RADIANS($H$17+-$AD6-90))/COS(RADIANS(90-$H$16+-$AC6)))*(SIN(RADIANS(90-$H$16+-$AC6))-SIN(RADIANS(90-$H$16)))/(SIN(RADIANS($H$17+-$AD6-90))-SIN(RADIANS($H$17-90))))</f>
        <v>2.3608536670038611</v>
      </c>
      <c r="AG6" s="93">
        <f t="shared" si="5"/>
        <v>3.6888338546935331</v>
      </c>
      <c r="AH6" s="93">
        <f t="shared" si="5"/>
        <v>5.311920750758687</v>
      </c>
      <c r="AI6" s="93">
        <f t="shared" si="5"/>
        <v>7.2301143551993245</v>
      </c>
      <c r="AJ6" s="93">
        <f t="shared" si="5"/>
        <v>9.4434146680154445</v>
      </c>
      <c r="AK6" s="93">
        <f t="shared" si="5"/>
        <v>11.951821689207046</v>
      </c>
      <c r="AL6" s="113">
        <f t="shared" si="5"/>
        <v>14.755335418774132</v>
      </c>
      <c r="AN6" s="101"/>
      <c r="AO6" s="102" t="s">
        <v>111</v>
      </c>
      <c r="AP6" s="102" t="s">
        <v>112</v>
      </c>
      <c r="AQ6" s="102" t="s">
        <v>113</v>
      </c>
      <c r="AR6" s="102" t="s">
        <v>114</v>
      </c>
      <c r="AS6" s="102" t="s">
        <v>115</v>
      </c>
      <c r="AT6" s="103" t="s">
        <v>116</v>
      </c>
      <c r="AV6" s="114" t="s">
        <v>117</v>
      </c>
      <c r="AW6" s="17">
        <f t="shared" ref="AW6:AW13" si="6">$H$4*SIN(RADIANS($Q6))</f>
        <v>2.9583278321848963</v>
      </c>
      <c r="AX6" s="93">
        <f t="shared" ref="AX6:AX13" si="7">100*$R6/$R$6</f>
        <v>100</v>
      </c>
      <c r="AY6" s="17">
        <f t="shared" ref="AY6:AY13" si="8">$H$4*SIN(RADIANS($AC6))</f>
        <v>1.8117333157176452</v>
      </c>
      <c r="AZ6" s="113">
        <f t="shared" ref="AZ6:AZ13" si="9">100*$AD6/$AD$6</f>
        <v>100</v>
      </c>
    </row>
    <row r="7" spans="3:52" ht="13.5" thickBot="1">
      <c r="C7" s="158"/>
      <c r="D7" s="158"/>
      <c r="E7" s="158"/>
      <c r="G7" s="159" t="s">
        <v>118</v>
      </c>
      <c r="H7" s="115">
        <v>60</v>
      </c>
      <c r="I7" s="115">
        <v>50</v>
      </c>
      <c r="J7" s="115">
        <v>60</v>
      </c>
      <c r="L7" s="4"/>
      <c r="P7" s="97"/>
      <c r="Q7" s="36">
        <f t="shared" ref="Q7:Q13" si="10">Q6-0.13*$Q$6</f>
        <v>21.75</v>
      </c>
      <c r="R7" s="36">
        <f t="shared" si="2"/>
        <v>50.731953758379909</v>
      </c>
      <c r="S7" s="36"/>
      <c r="T7" s="36">
        <f t="shared" si="3"/>
        <v>4.4147300375734284</v>
      </c>
      <c r="U7" s="36">
        <f t="shared" si="3"/>
        <v>6.8980156837084827</v>
      </c>
      <c r="V7" s="36">
        <f t="shared" si="3"/>
        <v>9.9331425845402173</v>
      </c>
      <c r="W7" s="36">
        <f t="shared" si="3"/>
        <v>13.520110740068629</v>
      </c>
      <c r="X7" s="36">
        <f t="shared" si="3"/>
        <v>17.658920150293714</v>
      </c>
      <c r="Y7" s="36">
        <f t="shared" si="3"/>
        <v>22.349570815215486</v>
      </c>
      <c r="Z7" s="37">
        <f t="shared" si="3"/>
        <v>27.592062734833931</v>
      </c>
      <c r="AB7" s="97"/>
      <c r="AC7" s="36">
        <f t="shared" ref="AC7:AC13" si="11">AC6-0.13*$AC$6</f>
        <v>13.05</v>
      </c>
      <c r="AD7" s="36">
        <f t="shared" si="4"/>
        <v>33.575121105384113</v>
      </c>
      <c r="AE7" s="36"/>
      <c r="AF7" s="36">
        <f t="shared" si="5"/>
        <v>2.3193664462021744</v>
      </c>
      <c r="AG7" s="36">
        <f t="shared" si="5"/>
        <v>3.6240100721908974</v>
      </c>
      <c r="AH7" s="36">
        <f t="shared" si="5"/>
        <v>5.2185745039548923</v>
      </c>
      <c r="AI7" s="36">
        <f t="shared" si="5"/>
        <v>7.1030597414941594</v>
      </c>
      <c r="AJ7" s="36">
        <f t="shared" si="5"/>
        <v>9.2774657848086974</v>
      </c>
      <c r="AK7" s="36">
        <f t="shared" si="5"/>
        <v>11.741792633898509</v>
      </c>
      <c r="AL7" s="37">
        <f t="shared" si="5"/>
        <v>14.49604028876359</v>
      </c>
      <c r="AN7" s="101" t="s">
        <v>119</v>
      </c>
      <c r="AO7" s="35">
        <f>((SIN(RADIANS(90-H16+H9))-SIN(RADIANS(90-H16)))/(SIN(RADIANS(H17+H7-90))-SIN(RADIANS(H17-90))))*$AR$4</f>
        <v>1.1124642416401189</v>
      </c>
      <c r="AP7" s="35">
        <f>((SIN(RADIANS(90-I16+I9))-SIN(RADIANS(90-I16)))/(SIN(RADIANS(I17+I7-90))-SIN(RADIANS(I17-90))))*$AR$4</f>
        <v>1.3792221851318385</v>
      </c>
      <c r="AQ7" s="35">
        <f>((SIN(RADIANS(90-J16+J9))-SIN(RADIANS(90-J16)))/(SIN(RADIANS(J17+J7-90))-SIN(RADIANS(J17-90))))*$AR$4</f>
        <v>1.3252971850955844</v>
      </c>
      <c r="AR7" s="35">
        <f>AO7</f>
        <v>1.1124642416401189</v>
      </c>
      <c r="AS7" s="35">
        <f>AP7</f>
        <v>1.3792221851318385</v>
      </c>
      <c r="AT7" s="116">
        <f>AQ7</f>
        <v>1.3252971850955844</v>
      </c>
      <c r="AV7" s="101"/>
      <c r="AW7" s="35">
        <f t="shared" si="6"/>
        <v>2.5939020625688536</v>
      </c>
      <c r="AX7" s="36">
        <f t="shared" si="7"/>
        <v>84.553256263966503</v>
      </c>
      <c r="AY7" s="35">
        <f t="shared" si="8"/>
        <v>1.580608868083726</v>
      </c>
      <c r="AZ7" s="37">
        <f t="shared" si="9"/>
        <v>83.937802763460283</v>
      </c>
    </row>
    <row r="8" spans="3:52">
      <c r="C8" s="158"/>
      <c r="D8" s="158"/>
      <c r="E8" s="158"/>
      <c r="G8" s="159" t="s">
        <v>120</v>
      </c>
      <c r="H8" s="115">
        <f>100-H7</f>
        <v>40</v>
      </c>
      <c r="I8" s="115">
        <v>50</v>
      </c>
      <c r="J8" s="115">
        <v>60</v>
      </c>
      <c r="L8" s="4"/>
      <c r="P8" s="97"/>
      <c r="Q8" s="36">
        <f t="shared" si="10"/>
        <v>18.5</v>
      </c>
      <c r="R8" s="36">
        <f t="shared" si="2"/>
        <v>42.374668629628658</v>
      </c>
      <c r="S8" s="36"/>
      <c r="T8" s="36">
        <f t="shared" si="3"/>
        <v>4.0985811675047668</v>
      </c>
      <c r="U8" s="36">
        <f t="shared" si="3"/>
        <v>6.4040330742261977</v>
      </c>
      <c r="V8" s="36">
        <f t="shared" si="3"/>
        <v>9.2218076268857256</v>
      </c>
      <c r="W8" s="36">
        <f t="shared" si="3"/>
        <v>12.551904825483346</v>
      </c>
      <c r="X8" s="36">
        <f t="shared" si="3"/>
        <v>16.394324670019067</v>
      </c>
      <c r="Y8" s="36">
        <f t="shared" si="3"/>
        <v>20.749067160492881</v>
      </c>
      <c r="Z8" s="37">
        <f t="shared" si="3"/>
        <v>25.616132296904791</v>
      </c>
      <c r="AB8" s="97"/>
      <c r="AC8" s="36">
        <f t="shared" si="11"/>
        <v>11.100000000000001</v>
      </c>
      <c r="AD8" s="36">
        <f t="shared" si="4"/>
        <v>27.767415980290494</v>
      </c>
      <c r="AE8" s="36"/>
      <c r="AF8" s="36">
        <f t="shared" si="5"/>
        <v>2.1540746790566812</v>
      </c>
      <c r="AG8" s="36">
        <f t="shared" si="5"/>
        <v>3.3657416860260647</v>
      </c>
      <c r="AH8" s="36">
        <f t="shared" si="5"/>
        <v>4.8466680278775325</v>
      </c>
      <c r="AI8" s="36">
        <f t="shared" si="5"/>
        <v>6.5968537046110862</v>
      </c>
      <c r="AJ8" s="36">
        <f t="shared" si="5"/>
        <v>8.6162987162267246</v>
      </c>
      <c r="AK8" s="36">
        <f t="shared" si="5"/>
        <v>10.905003062724447</v>
      </c>
      <c r="AL8" s="37">
        <f t="shared" si="5"/>
        <v>13.462966744104259</v>
      </c>
      <c r="AN8" s="114" t="s">
        <v>121</v>
      </c>
      <c r="AO8" s="17"/>
      <c r="AP8" s="17"/>
      <c r="AQ8" s="17"/>
      <c r="AR8" s="17"/>
      <c r="AS8" s="17"/>
      <c r="AT8" s="18"/>
      <c r="AV8" s="101"/>
      <c r="AW8" s="35">
        <f t="shared" si="6"/>
        <v>2.2211325948356451</v>
      </c>
      <c r="AX8" s="36">
        <f t="shared" si="7"/>
        <v>70.624447716047754</v>
      </c>
      <c r="AY8" s="35">
        <f t="shared" si="8"/>
        <v>1.3476537656813521</v>
      </c>
      <c r="AZ8" s="37">
        <f t="shared" si="9"/>
        <v>69.418539950726228</v>
      </c>
    </row>
    <row r="9" spans="3:52">
      <c r="C9" s="158"/>
      <c r="D9" s="158"/>
      <c r="E9" s="158"/>
      <c r="G9" s="159" t="s">
        <v>122</v>
      </c>
      <c r="H9" s="117">
        <v>25</v>
      </c>
      <c r="I9" s="117">
        <v>25</v>
      </c>
      <c r="J9" s="117">
        <v>30</v>
      </c>
      <c r="L9" s="4"/>
      <c r="P9" s="97"/>
      <c r="Q9" s="36">
        <f t="shared" si="10"/>
        <v>15.25</v>
      </c>
      <c r="R9" s="36">
        <f t="shared" si="2"/>
        <v>34.546059098203123</v>
      </c>
      <c r="S9" s="36"/>
      <c r="T9" s="36">
        <f t="shared" si="3"/>
        <v>3.5776479244555457</v>
      </c>
      <c r="U9" s="36">
        <f t="shared" si="3"/>
        <v>5.5900748819617903</v>
      </c>
      <c r="V9" s="36">
        <f t="shared" si="3"/>
        <v>8.0497078300249783</v>
      </c>
      <c r="W9" s="36">
        <f t="shared" si="3"/>
        <v>10.956546768645106</v>
      </c>
      <c r="X9" s="36">
        <f t="shared" si="3"/>
        <v>14.310591697822183</v>
      </c>
      <c r="Y9" s="36">
        <f t="shared" si="3"/>
        <v>18.111842617556203</v>
      </c>
      <c r="Z9" s="37">
        <f t="shared" si="3"/>
        <v>22.360299527847161</v>
      </c>
      <c r="AB9" s="97"/>
      <c r="AC9" s="36">
        <f t="shared" si="11"/>
        <v>9.1500000000000021</v>
      </c>
      <c r="AD9" s="36">
        <f t="shared" si="4"/>
        <v>22.376223861444089</v>
      </c>
      <c r="AE9" s="36"/>
      <c r="AF9" s="36">
        <f t="shared" si="5"/>
        <v>1.8977060687505884</v>
      </c>
      <c r="AG9" s="36">
        <f t="shared" si="5"/>
        <v>2.9651657324227947</v>
      </c>
      <c r="AH9" s="36">
        <f t="shared" si="5"/>
        <v>4.269838654688825</v>
      </c>
      <c r="AI9" s="36">
        <f t="shared" si="5"/>
        <v>5.8117248355486781</v>
      </c>
      <c r="AJ9" s="36">
        <f t="shared" si="5"/>
        <v>7.5908242750023538</v>
      </c>
      <c r="AK9" s="36">
        <f t="shared" si="5"/>
        <v>9.6071369730498564</v>
      </c>
      <c r="AL9" s="37">
        <f t="shared" si="5"/>
        <v>11.860662929691179</v>
      </c>
      <c r="AN9" s="101" t="s">
        <v>33</v>
      </c>
      <c r="AO9" s="35">
        <f>$AO$4+$AR$4*SIN(RADIANS(H$13-H$16))-$AQ$4*SIN(RADIANS(H$13))+AO$7*COS(RADIANS(-90+H$17+H$13))</f>
        <v>4.2266671626090924</v>
      </c>
      <c r="AP9" s="35">
        <f>$AO$4+$AR$4*SIN(RADIANS(I$13-I$16))-$AQ$4*SIN(RADIANS(I$13))+AP$7*COS(RADIANS(-90+I$17+I$13))</f>
        <v>4.569315304369173</v>
      </c>
      <c r="AQ9" s="35">
        <f>$AO$4+$AR$4*SIN(RADIANS(J$13-J$16))-$AQ$4*SIN(RADIANS(J$13))+AQ$7*COS(RADIANS(-90+J$17+J$13))</f>
        <v>4.8184576843538132</v>
      </c>
      <c r="AR9" s="35">
        <f>$AP$4-$AR$4*COS(RADIANS(H$13-H$16))+$AQ$4*COS(RADIANS(H$13))+AR$7*SIN(RADIANS(-90+H$17+H$13))</f>
        <v>5.5891274885534159</v>
      </c>
      <c r="AS9" s="35">
        <f>$AP$4-$AR$4*COS(RADIANS(I$13-I$16))+$AQ$4*COS(RADIANS(I$13))+AS$7*SIN(RADIANS(-90+I$17+I$13))</f>
        <v>3.4935777791277447</v>
      </c>
      <c r="AT9" s="116">
        <f>$AP$4-$AR$4*COS(RADIANS(J$13-J$16))+$AQ$4*COS(RADIANS(J$13))+AT$7*SIN(RADIANS(-90+J$17+J$13))</f>
        <v>6.0549264712360165</v>
      </c>
      <c r="AV9" s="101"/>
      <c r="AW9" s="35">
        <f t="shared" si="6"/>
        <v>1.8412185012058235</v>
      </c>
      <c r="AX9" s="36">
        <f t="shared" si="7"/>
        <v>57.576765163671865</v>
      </c>
      <c r="AY9" s="35">
        <f t="shared" si="8"/>
        <v>1.1131378161635495</v>
      </c>
      <c r="AZ9" s="37">
        <f t="shared" si="9"/>
        <v>55.940559653610215</v>
      </c>
    </row>
    <row r="10" spans="3:52">
      <c r="C10" s="158"/>
      <c r="D10" s="158"/>
      <c r="E10" s="158"/>
      <c r="G10" s="159" t="s">
        <v>123</v>
      </c>
      <c r="H10" s="117">
        <v>15</v>
      </c>
      <c r="I10" s="117">
        <v>25</v>
      </c>
      <c r="J10" s="117">
        <v>30</v>
      </c>
      <c r="L10" s="4"/>
      <c r="P10" s="97"/>
      <c r="Q10" s="36">
        <f t="shared" si="10"/>
        <v>12</v>
      </c>
      <c r="R10" s="36">
        <f t="shared" si="2"/>
        <v>27.033123351318466</v>
      </c>
      <c r="S10" s="36"/>
      <c r="T10" s="36">
        <f t="shared" si="3"/>
        <v>2.9185910961665069</v>
      </c>
      <c r="U10" s="36">
        <f t="shared" si="3"/>
        <v>4.5602985877601672</v>
      </c>
      <c r="V10" s="36">
        <f t="shared" si="3"/>
        <v>6.566829966374641</v>
      </c>
      <c r="W10" s="36">
        <f t="shared" si="3"/>
        <v>8.9381852320099284</v>
      </c>
      <c r="X10" s="36">
        <f t="shared" si="3"/>
        <v>11.674364384666028</v>
      </c>
      <c r="Y10" s="36">
        <f t="shared" si="3"/>
        <v>14.775367424342942</v>
      </c>
      <c r="Z10" s="37">
        <f t="shared" si="3"/>
        <v>18.241194351040669</v>
      </c>
      <c r="AB10" s="97"/>
      <c r="AC10" s="36">
        <f t="shared" si="11"/>
        <v>7.200000000000002</v>
      </c>
      <c r="AD10" s="36">
        <f t="shared" si="4"/>
        <v>17.282807437380285</v>
      </c>
      <c r="AE10" s="36"/>
      <c r="AF10" s="36">
        <f t="shared" si="5"/>
        <v>1.5721020449143144</v>
      </c>
      <c r="AG10" s="36">
        <f t="shared" si="5"/>
        <v>2.456409445178616</v>
      </c>
      <c r="AH10" s="36">
        <f t="shared" si="5"/>
        <v>3.5372296010572075</v>
      </c>
      <c r="AI10" s="36">
        <f t="shared" si="5"/>
        <v>4.8145625125500882</v>
      </c>
      <c r="AJ10" s="36">
        <f t="shared" si="5"/>
        <v>6.2884081796572575</v>
      </c>
      <c r="AK10" s="36">
        <f t="shared" si="5"/>
        <v>7.9587666023787165</v>
      </c>
      <c r="AL10" s="37">
        <f t="shared" si="5"/>
        <v>9.8256377807144641</v>
      </c>
      <c r="AN10" s="101" t="s">
        <v>124</v>
      </c>
      <c r="AO10" s="35">
        <f>$AO$4+$AR$4*SIN(RADIANS(H$13-H$16))-$AQ$4*SIN(RADIANS(H$13))</f>
        <v>4</v>
      </c>
      <c r="AP10" s="35">
        <f>$AO$4+$AR$4*SIN(RADIANS(I$13-I$16))-$AQ$4*SIN(RADIANS(I$13))</f>
        <v>4.9033817998308677</v>
      </c>
      <c r="AQ10" s="35">
        <f>$AO$4+$AR$4*SIN(RADIANS(J$13-J$16))-$AQ$4*SIN(RADIANS(J$13))</f>
        <v>5.1180339887498949</v>
      </c>
      <c r="AR10" s="35">
        <f>$AP$4-$AR$4*COS(RADIANS(H$13-H$16))+$AQ$4*COS(RADIANS(H$13))</f>
        <v>4.5000000000000009</v>
      </c>
      <c r="AS10" s="35">
        <f>$AP$4-$AR$4*COS(RADIANS(I$13-I$16))+$AQ$4*COS(RADIANS(I$13))</f>
        <v>2.1554247936399924</v>
      </c>
      <c r="AT10" s="116">
        <f>$AP$4-$AR$4*COS(RADIANS(J$13-J$16))+$AQ$4*COS(RADIANS(J$13))</f>
        <v>4.7639320225002111</v>
      </c>
      <c r="AV10" s="101"/>
      <c r="AW10" s="35">
        <f t="shared" si="6"/>
        <v>1.4553818357243153</v>
      </c>
      <c r="AX10" s="36">
        <f t="shared" si="7"/>
        <v>45.055205585530764</v>
      </c>
      <c r="AY10" s="35">
        <f t="shared" si="8"/>
        <v>0.87733263495013003</v>
      </c>
      <c r="AZ10" s="37">
        <f t="shared" si="9"/>
        <v>43.207018593450712</v>
      </c>
    </row>
    <row r="11" spans="3:52">
      <c r="C11" s="158"/>
      <c r="D11" s="158"/>
      <c r="E11" s="158"/>
      <c r="G11" s="164" t="s">
        <v>142</v>
      </c>
      <c r="H11" s="118"/>
      <c r="I11" s="118">
        <v>1</v>
      </c>
      <c r="J11" s="118">
        <v>2</v>
      </c>
      <c r="L11" s="4"/>
      <c r="P11" s="97"/>
      <c r="Q11" s="36">
        <f t="shared" si="10"/>
        <v>8.75</v>
      </c>
      <c r="R11" s="36">
        <f t="shared" si="2"/>
        <v>19.694906272910174</v>
      </c>
      <c r="S11" s="36"/>
      <c r="T11" s="36">
        <f t="shared" si="3"/>
        <v>2.1698041713165281</v>
      </c>
      <c r="U11" s="36">
        <f t="shared" si="3"/>
        <v>3.3903190176820766</v>
      </c>
      <c r="V11" s="36">
        <f t="shared" si="3"/>
        <v>4.8820593854621892</v>
      </c>
      <c r="W11" s="36">
        <f t="shared" si="3"/>
        <v>6.6450252746568683</v>
      </c>
      <c r="X11" s="36">
        <f t="shared" si="3"/>
        <v>8.6792166852661126</v>
      </c>
      <c r="Y11" s="36">
        <f t="shared" si="3"/>
        <v>10.984633617289928</v>
      </c>
      <c r="Z11" s="37">
        <f t="shared" si="3"/>
        <v>13.561276070728306</v>
      </c>
      <c r="AB11" s="97"/>
      <c r="AC11" s="36">
        <f t="shared" si="11"/>
        <v>5.2500000000000018</v>
      </c>
      <c r="AD11" s="36">
        <f t="shared" si="4"/>
        <v>12.409456680960503</v>
      </c>
      <c r="AE11" s="36"/>
      <c r="AF11" s="36">
        <f t="shared" si="5"/>
        <v>1.193286686079027</v>
      </c>
      <c r="AG11" s="36">
        <f t="shared" si="5"/>
        <v>1.8645104469984801</v>
      </c>
      <c r="AH11" s="36">
        <f t="shared" si="5"/>
        <v>2.6848950436778107</v>
      </c>
      <c r="AI11" s="36">
        <f t="shared" si="5"/>
        <v>3.6544404761170206</v>
      </c>
      <c r="AJ11" s="36">
        <f t="shared" si="5"/>
        <v>4.773146744316108</v>
      </c>
      <c r="AK11" s="36">
        <f t="shared" si="5"/>
        <v>6.0410138482750746</v>
      </c>
      <c r="AL11" s="37">
        <f t="shared" si="5"/>
        <v>7.4580417879939205</v>
      </c>
      <c r="AN11" s="101" t="s">
        <v>125</v>
      </c>
      <c r="AO11" s="35">
        <f t="shared" ref="AO11:AQ12" si="12">$AO$4+$AR$4*SIN(RADIANS(H$13-H$16))</f>
        <v>14</v>
      </c>
      <c r="AP11" s="35">
        <f t="shared" si="12"/>
        <v>14.606339062590832</v>
      </c>
      <c r="AQ11" s="35">
        <f t="shared" si="12"/>
        <v>15.118033988749895</v>
      </c>
      <c r="AR11" s="35">
        <f>$AP$4-$AR$4*COS(RADIANS(H$13-H$16))</f>
        <v>4.5</v>
      </c>
      <c r="AS11" s="35">
        <f>$AP$4-$AR$4*COS(RADIANS(I$13-I$16))</f>
        <v>4.5746437496366701</v>
      </c>
      <c r="AT11" s="116">
        <f>$AP$4-$AR$4*COS(RADIANS(J$13-J$16))</f>
        <v>4.7639320225002102</v>
      </c>
      <c r="AV11" s="101"/>
      <c r="AW11" s="35">
        <f t="shared" si="6"/>
        <v>1.0648637033294168</v>
      </c>
      <c r="AX11" s="36">
        <f t="shared" si="7"/>
        <v>32.824843788183621</v>
      </c>
      <c r="AY11" s="35">
        <f t="shared" si="8"/>
        <v>0.64051133064381682</v>
      </c>
      <c r="AZ11" s="37">
        <f t="shared" si="9"/>
        <v>31.023641702401257</v>
      </c>
    </row>
    <row r="12" spans="3:52">
      <c r="C12" s="158"/>
      <c r="D12" s="158"/>
      <c r="E12" s="158"/>
      <c r="G12" s="164" t="s">
        <v>143</v>
      </c>
      <c r="H12" s="118"/>
      <c r="I12" s="118">
        <v>4</v>
      </c>
      <c r="J12" s="118">
        <v>4</v>
      </c>
      <c r="L12" s="4"/>
      <c r="P12" s="97"/>
      <c r="Q12" s="36">
        <f t="shared" si="10"/>
        <v>5.5</v>
      </c>
      <c r="R12" s="36">
        <f t="shared" si="2"/>
        <v>12.42331226909468</v>
      </c>
      <c r="S12" s="36"/>
      <c r="T12" s="36">
        <f t="shared" si="3"/>
        <v>1.3704707044200715</v>
      </c>
      <c r="U12" s="36">
        <f t="shared" si="3"/>
        <v>2.141360475656362</v>
      </c>
      <c r="V12" s="36">
        <f t="shared" si="3"/>
        <v>3.0835590849451608</v>
      </c>
      <c r="W12" s="36">
        <f t="shared" si="3"/>
        <v>4.1970665322864686</v>
      </c>
      <c r="X12" s="36">
        <f t="shared" si="3"/>
        <v>5.4818828176802858</v>
      </c>
      <c r="Y12" s="36">
        <f t="shared" si="3"/>
        <v>6.9380079411266111</v>
      </c>
      <c r="Z12" s="37">
        <f t="shared" si="3"/>
        <v>8.565441902625448</v>
      </c>
      <c r="AB12" s="97"/>
      <c r="AC12" s="36">
        <f t="shared" si="11"/>
        <v>3.3000000000000016</v>
      </c>
      <c r="AD12" s="36">
        <f t="shared" si="4"/>
        <v>7.7014115833941759</v>
      </c>
      <c r="AE12" s="36"/>
      <c r="AF12" s="36">
        <f t="shared" si="5"/>
        <v>0.77384441839511064</v>
      </c>
      <c r="AG12" s="36">
        <f t="shared" si="5"/>
        <v>1.2091319037423602</v>
      </c>
      <c r="AH12" s="36">
        <f t="shared" si="5"/>
        <v>1.7411499413889986</v>
      </c>
      <c r="AI12" s="36">
        <f t="shared" si="5"/>
        <v>2.3698985313350263</v>
      </c>
      <c r="AJ12" s="36">
        <f t="shared" si="5"/>
        <v>3.0953776735804426</v>
      </c>
      <c r="AK12" s="36">
        <f t="shared" si="5"/>
        <v>3.9175873681252473</v>
      </c>
      <c r="AL12" s="37">
        <f t="shared" si="5"/>
        <v>4.8365276149694409</v>
      </c>
      <c r="AN12" s="101" t="s">
        <v>126</v>
      </c>
      <c r="AO12" s="35">
        <f t="shared" si="12"/>
        <v>14</v>
      </c>
      <c r="AP12" s="35">
        <f t="shared" si="12"/>
        <v>14.606339062590832</v>
      </c>
      <c r="AQ12" s="35">
        <f t="shared" si="12"/>
        <v>15.118033988749895</v>
      </c>
      <c r="AR12" s="35">
        <f t="shared" ref="AR12:AT13" si="13">$AP$4</f>
        <v>7</v>
      </c>
      <c r="AS12" s="35">
        <f t="shared" si="13"/>
        <v>7</v>
      </c>
      <c r="AT12" s="116">
        <f t="shared" si="13"/>
        <v>7</v>
      </c>
      <c r="AV12" s="101"/>
      <c r="AW12" s="35">
        <f t="shared" si="6"/>
        <v>0.67092026764156787</v>
      </c>
      <c r="AX12" s="36">
        <f t="shared" si="7"/>
        <v>20.705520448491132</v>
      </c>
      <c r="AY12" s="35">
        <f t="shared" si="8"/>
        <v>0.40294818871697113</v>
      </c>
      <c r="AZ12" s="37">
        <f t="shared" si="9"/>
        <v>19.25352895848544</v>
      </c>
    </row>
    <row r="13" spans="3:52" ht="13.5" thickBot="1">
      <c r="C13" s="158"/>
      <c r="D13" s="158"/>
      <c r="E13" s="158"/>
      <c r="G13" s="159" t="s">
        <v>127</v>
      </c>
      <c r="H13" s="118">
        <v>90</v>
      </c>
      <c r="I13" s="118">
        <v>104</v>
      </c>
      <c r="J13" s="118">
        <v>90</v>
      </c>
      <c r="L13" s="4"/>
      <c r="O13" s="4"/>
      <c r="P13" s="119"/>
      <c r="Q13" s="36">
        <f t="shared" si="10"/>
        <v>2.25</v>
      </c>
      <c r="R13" s="36">
        <f t="shared" si="2"/>
        <v>5.1225532979965749</v>
      </c>
      <c r="S13" s="36"/>
      <c r="T13" s="36">
        <f t="shared" si="3"/>
        <v>0.5555049266587202</v>
      </c>
      <c r="U13" s="36">
        <f t="shared" si="3"/>
        <v>0.86797644790424988</v>
      </c>
      <c r="V13" s="36">
        <f t="shared" si="3"/>
        <v>1.2498860849821203</v>
      </c>
      <c r="W13" s="36">
        <f t="shared" si="3"/>
        <v>1.7012338378923302</v>
      </c>
      <c r="X13" s="36">
        <f t="shared" si="3"/>
        <v>2.2220197066348808</v>
      </c>
      <c r="Y13" s="36">
        <f t="shared" si="3"/>
        <v>2.8122436912097699</v>
      </c>
      <c r="Z13" s="37">
        <f t="shared" si="3"/>
        <v>3.4719057916169995</v>
      </c>
      <c r="AB13" s="119"/>
      <c r="AC13" s="36">
        <f t="shared" si="11"/>
        <v>1.3500000000000014</v>
      </c>
      <c r="AD13" s="36">
        <f t="shared" si="4"/>
        <v>3.1177114559038159</v>
      </c>
      <c r="AE13" s="36"/>
      <c r="AF13" s="36">
        <f t="shared" si="5"/>
        <v>0.32419923636839482</v>
      </c>
      <c r="AG13" s="36">
        <f t="shared" si="5"/>
        <v>0.50656130682561695</v>
      </c>
      <c r="AH13" s="36">
        <f t="shared" si="5"/>
        <v>0.72944828182888843</v>
      </c>
      <c r="AI13" s="36">
        <f t="shared" si="5"/>
        <v>0.99286016137820909</v>
      </c>
      <c r="AJ13" s="36">
        <f t="shared" si="5"/>
        <v>1.2967969454735793</v>
      </c>
      <c r="AK13" s="36">
        <f t="shared" si="5"/>
        <v>1.6412586341149986</v>
      </c>
      <c r="AL13" s="37">
        <f t="shared" si="5"/>
        <v>2.0262452273024678</v>
      </c>
      <c r="AN13" s="101" t="s">
        <v>31</v>
      </c>
      <c r="AO13" s="35">
        <f>$AO$4</f>
        <v>14</v>
      </c>
      <c r="AP13" s="35">
        <f>$AO$4</f>
        <v>14</v>
      </c>
      <c r="AQ13" s="35">
        <f>$AO$4</f>
        <v>14</v>
      </c>
      <c r="AR13" s="35">
        <f t="shared" si="13"/>
        <v>7</v>
      </c>
      <c r="AS13" s="35">
        <f t="shared" si="13"/>
        <v>7</v>
      </c>
      <c r="AT13" s="116">
        <f t="shared" si="13"/>
        <v>7</v>
      </c>
      <c r="AV13" s="120"/>
      <c r="AW13" s="28">
        <f t="shared" si="6"/>
        <v>0.27481871031348026</v>
      </c>
      <c r="AX13" s="50">
        <f t="shared" si="7"/>
        <v>8.5375888299942897</v>
      </c>
      <c r="AY13" s="28">
        <f t="shared" si="8"/>
        <v>0.16491835383527126</v>
      </c>
      <c r="AZ13" s="51">
        <f t="shared" si="9"/>
        <v>7.7942786397595398</v>
      </c>
    </row>
    <row r="14" spans="3:52" ht="13.5" thickBot="1">
      <c r="C14" s="158"/>
      <c r="D14" s="158"/>
      <c r="E14" s="158"/>
      <c r="O14" s="4"/>
      <c r="P14" s="110" t="s">
        <v>92</v>
      </c>
      <c r="Q14" s="111">
        <f>$I$9</f>
        <v>25</v>
      </c>
      <c r="R14" s="112">
        <f t="shared" ref="R14:R21" si="14">-$I$17+DEGREES(ASIN((SIN(RADIANS(90-$I$16+Q14))-SIN(RADIANS(90-$I$16)))/((SIN(RADIANS(90-$I$16+$I$9))-SIN(RADIANS(90-$I$16)))/(SIN(RADIANS($I$17+$I$7-90))-SIN(RADIANS($I$17-90))))+SIN(RADIANS($I$17-90))))+90</f>
        <v>50.000000000000021</v>
      </c>
      <c r="S14" s="112"/>
      <c r="T14" s="93">
        <f t="shared" ref="T14:Z21" si="15">0.0000085*($I$4^2*$I$5*T$3^2*SIN(RADIANS($Q14))*(COS(RADIANS($I$17+$R14-90))/COS(RADIANS(90-$I$16+$Q14)))*(SIN(RADIANS(90-$I$16+$Q14))-SIN(RADIANS(90-$I$16)))/(SIN(RADIANS($I$17+$R14-90))-SIN(RADIANS($I$17-90))))</f>
        <v>7.2968197880272623</v>
      </c>
      <c r="U14" s="93">
        <f t="shared" si="15"/>
        <v>11.401280918792596</v>
      </c>
      <c r="V14" s="93">
        <f t="shared" si="15"/>
        <v>16.417844523061337</v>
      </c>
      <c r="W14" s="93">
        <f t="shared" si="15"/>
        <v>22.346510600833486</v>
      </c>
      <c r="X14" s="93">
        <f t="shared" si="15"/>
        <v>29.187279152109049</v>
      </c>
      <c r="Y14" s="93">
        <f t="shared" si="15"/>
        <v>36.940150176888011</v>
      </c>
      <c r="Z14" s="113">
        <f t="shared" si="15"/>
        <v>45.605123675170383</v>
      </c>
      <c r="AB14" s="110" t="s">
        <v>92</v>
      </c>
      <c r="AC14" s="111">
        <f>$I$10</f>
        <v>25</v>
      </c>
      <c r="AD14" s="112">
        <f t="shared" ref="AD14:AD21" si="16">$I$17-DEGREES(ASIN((SIN(RADIANS(90-$I$16+-AC14))-SIN(RADIANS(90-$I$16)))/((SIN(RADIANS(90-$I$16+$I$9))-SIN(RADIANS(90-$I$16)))/(SIN(RADIANS($I$17+$I$7-90))-SIN(RADIANS($I$17-90))))+SIN(RADIANS($I$17-90))))-90</f>
        <v>50</v>
      </c>
      <c r="AE14" s="112"/>
      <c r="AF14" s="93">
        <f t="shared" ref="AF14:AL21" si="17">0.0000085*($I$4^2*$I$5*AF$3^2*SIN(RADIANS($AC14))*(COS(RADIANS($I$17+-$AD14-90))/COS(RADIANS(90-$I$16+-$AC14)))*(SIN(RADIANS(90-$I$16+-$AC14))-SIN(RADIANS(90-$I$16)))/(SIN(RADIANS($I$17+-$AD14-90))-SIN(RADIANS($I$17-90))))</f>
        <v>7.2977456031865424</v>
      </c>
      <c r="AG14" s="93">
        <f t="shared" si="17"/>
        <v>11.402727504978971</v>
      </c>
      <c r="AH14" s="93">
        <f t="shared" si="17"/>
        <v>16.419927607169718</v>
      </c>
      <c r="AI14" s="93">
        <f t="shared" si="17"/>
        <v>22.349345909758782</v>
      </c>
      <c r="AJ14" s="93">
        <f t="shared" si="17"/>
        <v>29.19098241274617</v>
      </c>
      <c r="AK14" s="93">
        <f t="shared" si="17"/>
        <v>36.944837116131865</v>
      </c>
      <c r="AL14" s="113">
        <f t="shared" si="17"/>
        <v>45.610910019915885</v>
      </c>
      <c r="AN14" s="120" t="s">
        <v>35</v>
      </c>
      <c r="AO14" s="28">
        <f>AO$13+$AS$4</f>
        <v>19</v>
      </c>
      <c r="AP14" s="28">
        <f>AP$13+$AS$4</f>
        <v>19</v>
      </c>
      <c r="AQ14" s="28">
        <f>AQ$13+$AS$4</f>
        <v>19</v>
      </c>
      <c r="AR14" s="28">
        <f>AR$13</f>
        <v>7</v>
      </c>
      <c r="AS14" s="28">
        <f>AS$13</f>
        <v>7</v>
      </c>
      <c r="AT14" s="29">
        <f>AT$13</f>
        <v>7</v>
      </c>
      <c r="AV14" s="114" t="s">
        <v>128</v>
      </c>
      <c r="AW14" s="17">
        <f t="shared" ref="AW14:AW21" si="18">$I$4*SIN(RADIANS($Q14))</f>
        <v>5.4940374026290923</v>
      </c>
      <c r="AX14" s="93">
        <f t="shared" ref="AX14:AX21" si="19">100*$R14/$R$14</f>
        <v>100</v>
      </c>
      <c r="AY14" s="17">
        <f t="shared" ref="AY14:AY21" si="20">$I$4*SIN(RADIANS($AC14))</f>
        <v>5.4940374026290923</v>
      </c>
      <c r="AZ14" s="113">
        <f t="shared" ref="AZ14:AZ21" si="21">100*$AD14/$AD$14</f>
        <v>100</v>
      </c>
    </row>
    <row r="15" spans="3:52">
      <c r="C15" s="158"/>
      <c r="D15" s="158"/>
      <c r="E15" s="158"/>
      <c r="G15" s="159" t="s">
        <v>129</v>
      </c>
      <c r="H15" s="121">
        <f>MAX(Z6:Z13,AL6:AL13)</f>
        <v>27.626562093549499</v>
      </c>
      <c r="I15" s="121">
        <f>MAX(Z14:Z21,AL14:AL21)</f>
        <v>45.610910019915885</v>
      </c>
      <c r="J15" s="121">
        <f>MAX(Z22:Z29,AL22:AL29)</f>
        <v>114.85781143771695</v>
      </c>
      <c r="O15" s="4"/>
      <c r="P15" s="97"/>
      <c r="Q15" s="36">
        <f t="shared" ref="Q15:Q21" si="22">Q14-0.13*$Q$14</f>
        <v>21.75</v>
      </c>
      <c r="R15" s="36">
        <f t="shared" si="14"/>
        <v>42.196434873415775</v>
      </c>
      <c r="S15" s="36"/>
      <c r="T15" s="36">
        <f t="shared" si="15"/>
        <v>7.1956387355032625</v>
      </c>
      <c r="U15" s="36">
        <f t="shared" si="15"/>
        <v>11.243185524223847</v>
      </c>
      <c r="V15" s="36">
        <f t="shared" si="15"/>
        <v>16.190187154882342</v>
      </c>
      <c r="W15" s="36">
        <f t="shared" si="15"/>
        <v>22.036643627478739</v>
      </c>
      <c r="X15" s="36">
        <f t="shared" si="15"/>
        <v>28.78255494201305</v>
      </c>
      <c r="Y15" s="36">
        <f t="shared" si="15"/>
        <v>36.427921098485271</v>
      </c>
      <c r="Z15" s="37">
        <f t="shared" si="15"/>
        <v>44.972742096895388</v>
      </c>
      <c r="AB15" s="97"/>
      <c r="AC15" s="36">
        <f t="shared" ref="AC15:AC21" si="23">AC14-0.13*$AC$14</f>
        <v>21.75</v>
      </c>
      <c r="AD15" s="36">
        <f t="shared" si="16"/>
        <v>42.197005403682482</v>
      </c>
      <c r="AE15" s="36"/>
      <c r="AF15" s="36">
        <f t="shared" si="17"/>
        <v>7.1958658214176587</v>
      </c>
      <c r="AG15" s="36">
        <f t="shared" si="17"/>
        <v>11.243540345965091</v>
      </c>
      <c r="AH15" s="36">
        <f t="shared" si="17"/>
        <v>16.190698098189731</v>
      </c>
      <c r="AI15" s="36">
        <f t="shared" si="17"/>
        <v>22.037339078091577</v>
      </c>
      <c r="AJ15" s="36">
        <f t="shared" si="17"/>
        <v>28.783463285670635</v>
      </c>
      <c r="AK15" s="36">
        <f t="shared" si="17"/>
        <v>36.429070720926887</v>
      </c>
      <c r="AL15" s="37">
        <f t="shared" si="17"/>
        <v>44.974161383860363</v>
      </c>
      <c r="AN15" s="114" t="s">
        <v>100</v>
      </c>
      <c r="AO15" s="93"/>
      <c r="AP15" s="93"/>
      <c r="AQ15" s="93"/>
      <c r="AR15" s="93"/>
      <c r="AS15" s="93"/>
      <c r="AT15" s="113"/>
      <c r="AV15" s="101"/>
      <c r="AW15" s="35">
        <f t="shared" si="18"/>
        <v>4.817246687627871</v>
      </c>
      <c r="AX15" s="36">
        <f t="shared" si="19"/>
        <v>84.392869746831508</v>
      </c>
      <c r="AY15" s="35">
        <f t="shared" si="20"/>
        <v>4.817246687627871</v>
      </c>
      <c r="AZ15" s="37">
        <f t="shared" si="21"/>
        <v>84.394010807364964</v>
      </c>
    </row>
    <row r="16" spans="3:52">
      <c r="C16" s="158"/>
      <c r="D16" s="158"/>
      <c r="E16" s="158"/>
      <c r="G16" s="159" t="s">
        <v>130</v>
      </c>
      <c r="H16" s="122">
        <f>H13-IF(H12=0,0,DEGREES(ATAN(H11/H12)))</f>
        <v>90</v>
      </c>
      <c r="I16" s="122">
        <f>I13-IF(I12=0,0,DEGREES(ATAN(I11/I12)))</f>
        <v>89.963756532073518</v>
      </c>
      <c r="J16" s="122">
        <f>J13-IF(J12=0,0,DEGREES(ATAN(J11/J12)))</f>
        <v>63.43494882292201</v>
      </c>
      <c r="N16" s="170" t="s">
        <v>144</v>
      </c>
      <c r="O16" s="4"/>
      <c r="P16" s="97"/>
      <c r="Q16" s="36">
        <f t="shared" si="22"/>
        <v>18.5</v>
      </c>
      <c r="R16" s="36">
        <f t="shared" si="14"/>
        <v>35.109915376056868</v>
      </c>
      <c r="S16" s="36"/>
      <c r="T16" s="36">
        <f t="shared" si="15"/>
        <v>6.6637860106006208</v>
      </c>
      <c r="U16" s="36">
        <f t="shared" si="15"/>
        <v>10.412165641563469</v>
      </c>
      <c r="V16" s="36">
        <f t="shared" si="15"/>
        <v>14.993518523851394</v>
      </c>
      <c r="W16" s="36">
        <f t="shared" si="15"/>
        <v>20.407844657464402</v>
      </c>
      <c r="X16" s="36">
        <f t="shared" si="15"/>
        <v>26.655144042402483</v>
      </c>
      <c r="Y16" s="36">
        <f t="shared" si="15"/>
        <v>33.735416678665636</v>
      </c>
      <c r="Z16" s="37">
        <f t="shared" si="15"/>
        <v>41.648662566253876</v>
      </c>
      <c r="AB16" s="97"/>
      <c r="AC16" s="36">
        <f t="shared" si="23"/>
        <v>18.5</v>
      </c>
      <c r="AD16" s="36">
        <f t="shared" si="16"/>
        <v>35.110550195234396</v>
      </c>
      <c r="AE16" s="36"/>
      <c r="AF16" s="36">
        <f t="shared" si="17"/>
        <v>6.663731287802527</v>
      </c>
      <c r="AG16" s="36">
        <f t="shared" si="17"/>
        <v>10.412080137191447</v>
      </c>
      <c r="AH16" s="36">
        <f t="shared" si="17"/>
        <v>14.993395397555686</v>
      </c>
      <c r="AI16" s="36">
        <f t="shared" si="17"/>
        <v>20.407677068895239</v>
      </c>
      <c r="AJ16" s="36">
        <f t="shared" si="17"/>
        <v>26.654925151210108</v>
      </c>
      <c r="AK16" s="36">
        <f t="shared" si="17"/>
        <v>33.735139644500293</v>
      </c>
      <c r="AL16" s="37">
        <f t="shared" si="17"/>
        <v>41.648320548765788</v>
      </c>
      <c r="AN16" s="101" t="s">
        <v>33</v>
      </c>
      <c r="AO16" s="35">
        <f>$AO$4+$AR$4*SIN(RADIANS(H$13-H$16))-$AQ$4*SIN(RADIANS(H$13))+AO$7*COS(RADIANS(-90+H$17+H$13))</f>
        <v>4.2266671626090924</v>
      </c>
      <c r="AP16" s="35">
        <f>$AO$4+$AR$4*SIN(RADIANS(I$13-I$16))-$AQ$4*SIN(RADIANS(I$13))+AP$7*COS(RADIANS(-90+I$17+I$13))</f>
        <v>4.569315304369173</v>
      </c>
      <c r="AQ16" s="35">
        <f>$AO$4+$AR$4*SIN(RADIANS(J$13-J$16))-$AQ$4*SIN(RADIANS(J$13))+AQ$7*COS(RADIANS(-90+J$17+J$13))</f>
        <v>4.8184576843538132</v>
      </c>
      <c r="AR16" s="35">
        <f>$AP$4-$AR$4*COS(RADIANS(H$13-H$16))+$AQ$4*COS(RADIANS(H$13))+AR$7*SIN(RADIANS(-90+H$17+H$13))</f>
        <v>5.5891274885534159</v>
      </c>
      <c r="AS16" s="35">
        <f>$AP$4-$AR$4*COS(RADIANS(I$13-I$16))+$AQ$4*COS(RADIANS(I$13))+AS$7*SIN(RADIANS(-90+I$17+I$13))</f>
        <v>3.4935777791277447</v>
      </c>
      <c r="AT16" s="116">
        <f>$AP$4-$AR$4*COS(RADIANS(J$13-J$16))+$AQ$4*COS(RADIANS(J$13))+AT$7*SIN(RADIANS(-90+J$17+J$13))</f>
        <v>6.0549264712360165</v>
      </c>
      <c r="AV16" s="101"/>
      <c r="AW16" s="35">
        <f t="shared" si="18"/>
        <v>4.124960533266198</v>
      </c>
      <c r="AX16" s="36">
        <f t="shared" si="19"/>
        <v>70.219830752113708</v>
      </c>
      <c r="AY16" s="35">
        <f t="shared" si="20"/>
        <v>4.124960533266198</v>
      </c>
      <c r="AZ16" s="37">
        <f t="shared" si="21"/>
        <v>70.221100390468791</v>
      </c>
    </row>
    <row r="17" spans="3:52">
      <c r="C17" s="158"/>
      <c r="D17" s="158"/>
      <c r="E17" s="158"/>
      <c r="G17" s="159" t="s">
        <v>131</v>
      </c>
      <c r="H17" s="123">
        <f>DEGREES(ATAN((((SIN(RADIANS(90-H16-H10))-SIN(RADIANS(90-H16)))*SIN(RADIANS(H7)))-((SIN(RADIANS(90-H16+H9))-SIN(RADIANS(90-H16)))*SIN(RADIANS(-H8))))/((SIN(RADIANS(90-H16+H9))-SIN(RADIANS(90-H16)))*(COS(RADIANS(-H8))-1)-(SIN(RADIANS(90-H16-H10))-SIN(RADIANS(90-H16)))*(COS(RADIANS(H7))-1))))+90</f>
        <v>78.243529600861336</v>
      </c>
      <c r="I17" s="123">
        <f>DEGREES(ATAN((((SIN(RADIANS(90-I16-I10))-SIN(RADIANS(90-I16)))*SIN(RADIANS(I7)))-((SIN(RADIANS(90-I16+I9))-SIN(RADIANS(90-I16)))*SIN(RADIANS(-I8))))/((SIN(RADIANS(90-I16+I9))-SIN(RADIANS(90-I16)))*(COS(RADIANS(-I8))-1)-(SIN(RADIANS(90-I16-I10))-SIN(RADIANS(90-I16)))*(COS(RADIANS(I7))-1))))+90</f>
        <v>90.017231079275504</v>
      </c>
      <c r="J17" s="123">
        <f>DEGREES(ATAN((((SIN(RADIANS(90-J16-J10))-SIN(RADIANS(90-J16)))*SIN(RADIANS(J7)))-((SIN(RADIANS(90-J16+J9))-SIN(RADIANS(90-J16)))*SIN(RADIANS(-J8))))/((SIN(RADIANS(90-J16+J9))-SIN(RADIANS(90-J16)))*(COS(RADIANS(-J8))-1)-(SIN(RADIANS(90-J16-J10))-SIN(RADIANS(90-J16)))*(COS(RADIANS(J7))-1))))+90</f>
        <v>103.06431342950829</v>
      </c>
      <c r="O17" s="4"/>
      <c r="P17" s="97"/>
      <c r="Q17" s="36">
        <f t="shared" si="22"/>
        <v>15.25</v>
      </c>
      <c r="R17" s="36">
        <f t="shared" si="14"/>
        <v>28.474688654582813</v>
      </c>
      <c r="S17" s="36"/>
      <c r="T17" s="36">
        <f t="shared" si="15"/>
        <v>5.8344982465265049</v>
      </c>
      <c r="U17" s="36">
        <f t="shared" si="15"/>
        <v>9.1164035101976655</v>
      </c>
      <c r="V17" s="36">
        <f t="shared" si="15"/>
        <v>13.127621054684639</v>
      </c>
      <c r="W17" s="36">
        <f t="shared" si="15"/>
        <v>17.868150879987422</v>
      </c>
      <c r="X17" s="36">
        <f t="shared" si="15"/>
        <v>23.33799298610602</v>
      </c>
      <c r="Y17" s="36">
        <f t="shared" si="15"/>
        <v>29.537147373040433</v>
      </c>
      <c r="Z17" s="37">
        <f t="shared" si="15"/>
        <v>36.465614040790662</v>
      </c>
      <c r="AB17" s="97"/>
      <c r="AC17" s="36">
        <f t="shared" si="23"/>
        <v>15.25</v>
      </c>
      <c r="AD17" s="36">
        <f t="shared" si="16"/>
        <v>28.475209219960561</v>
      </c>
      <c r="AE17" s="36"/>
      <c r="AF17" s="36">
        <f t="shared" si="17"/>
        <v>5.8343605073956031</v>
      </c>
      <c r="AG17" s="36">
        <f t="shared" si="17"/>
        <v>9.1161882928056279</v>
      </c>
      <c r="AH17" s="36">
        <f t="shared" si="17"/>
        <v>13.127311141640106</v>
      </c>
      <c r="AI17" s="36">
        <f t="shared" si="17"/>
        <v>17.86772905389903</v>
      </c>
      <c r="AJ17" s="36">
        <f t="shared" si="17"/>
        <v>23.337442029582412</v>
      </c>
      <c r="AK17" s="36">
        <f t="shared" si="17"/>
        <v>29.53645006869024</v>
      </c>
      <c r="AL17" s="37">
        <f t="shared" si="17"/>
        <v>36.464753171222512</v>
      </c>
      <c r="AN17" s="101" t="s">
        <v>124</v>
      </c>
      <c r="AO17" s="35">
        <f>AO16-AO$7*SIN(RADIANS(180-H$17-H$13-H$7))</f>
        <v>5.0565456543517486</v>
      </c>
      <c r="AP17" s="35">
        <f>AP16-AP$7*SIN(RADIANS(180-I$17-I$13-I$7))</f>
        <v>5.8091337670393184</v>
      </c>
      <c r="AQ17" s="35">
        <f>AQ16-AQ$7*SIN(RADIANS(180-J$17-J$13-J$7))</f>
        <v>6.086279825301748</v>
      </c>
      <c r="AR17" s="35">
        <f>AR16-AR$7*COS(RADIANS(180-H$17-H$13-H$7))</f>
        <v>4.8482642232534969</v>
      </c>
      <c r="AS17" s="35">
        <f>AS16-AS$7*COS(RADIANS(180-I$17-I$13-I$7))</f>
        <v>2.8893394026718289</v>
      </c>
      <c r="AT17" s="116">
        <f>AT16-AT$7*COS(RADIANS(180-J$17-J$13-J$7))</f>
        <v>5.6688699368469795</v>
      </c>
      <c r="AV17" s="101"/>
      <c r="AW17" s="35">
        <f t="shared" si="18"/>
        <v>3.4194057879536723</v>
      </c>
      <c r="AX17" s="36">
        <f t="shared" si="19"/>
        <v>56.949377309165605</v>
      </c>
      <c r="AY17" s="35">
        <f t="shared" si="20"/>
        <v>3.4194057879536723</v>
      </c>
      <c r="AZ17" s="37">
        <f t="shared" si="21"/>
        <v>56.950418439921123</v>
      </c>
    </row>
    <row r="18" spans="3:52">
      <c r="C18" s="158"/>
      <c r="D18" s="158"/>
      <c r="E18" s="158"/>
      <c r="G18" s="159" t="s">
        <v>132</v>
      </c>
      <c r="H18" s="124" t="str">
        <f>IF(H12=0,"?",((SIN(RADIANS(90-H16+H9))-SIN(RADIANS(90-H16)))/(SIN(RADIANS(H17+H7-90))-SIN(RADIANS(H17-90))))*SQRT(H11^2+H12^2))</f>
        <v>?</v>
      </c>
      <c r="I18" s="124">
        <f>IF(I12=0,"?",((SIN(RADIANS(90-I16+I9))-SIN(RADIANS(90-I16)))/(SIN(RADIANS(I17+I7-90))-SIN(RADIANS(I17-90))))*SQRT(I11^2+I12^2))</f>
        <v>2.2746715001975062</v>
      </c>
      <c r="J18" s="124">
        <f>IF(J12=0,"?",((SIN(RADIANS(90-J16+J9))-SIN(RADIANS(90-J16)))/(SIN(RADIANS(J17+J7-90))-SIN(RADIANS(J17-90))))*SQRT(J11^2+J12^2))</f>
        <v>2.3707636770102782</v>
      </c>
      <c r="O18" s="4"/>
      <c r="P18" s="97"/>
      <c r="Q18" s="36">
        <f t="shared" si="22"/>
        <v>12</v>
      </c>
      <c r="R18" s="36">
        <f t="shared" si="14"/>
        <v>22.139386131113383</v>
      </c>
      <c r="S18" s="36"/>
      <c r="T18" s="36">
        <f t="shared" si="15"/>
        <v>4.7933418719736691</v>
      </c>
      <c r="U18" s="36">
        <f t="shared" si="15"/>
        <v>7.4895966749588583</v>
      </c>
      <c r="V18" s="36">
        <f t="shared" si="15"/>
        <v>10.785019211940757</v>
      </c>
      <c r="W18" s="36">
        <f t="shared" si="15"/>
        <v>14.679609482919366</v>
      </c>
      <c r="X18" s="36">
        <f t="shared" si="15"/>
        <v>19.173367487894676</v>
      </c>
      <c r="Y18" s="36">
        <f t="shared" si="15"/>
        <v>24.266293226866704</v>
      </c>
      <c r="Z18" s="37">
        <f t="shared" si="15"/>
        <v>29.958386699835433</v>
      </c>
      <c r="AB18" s="97"/>
      <c r="AC18" s="36">
        <f t="shared" si="23"/>
        <v>12</v>
      </c>
      <c r="AD18" s="36">
        <f t="shared" si="16"/>
        <v>22.139742685502014</v>
      </c>
      <c r="AE18" s="36"/>
      <c r="AF18" s="36">
        <f t="shared" si="17"/>
        <v>4.7932137670807</v>
      </c>
      <c r="AG18" s="36">
        <f t="shared" si="17"/>
        <v>7.4893965110635925</v>
      </c>
      <c r="AH18" s="36">
        <f t="shared" si="17"/>
        <v>10.784730975931575</v>
      </c>
      <c r="AI18" s="36">
        <f t="shared" si="17"/>
        <v>14.679217161684644</v>
      </c>
      <c r="AJ18" s="36">
        <f t="shared" si="17"/>
        <v>19.1728550683228</v>
      </c>
      <c r="AK18" s="36">
        <f t="shared" si="17"/>
        <v>24.265644695846042</v>
      </c>
      <c r="AL18" s="37">
        <f t="shared" si="17"/>
        <v>29.95758604425437</v>
      </c>
      <c r="AN18" s="101" t="s">
        <v>125</v>
      </c>
      <c r="AO18" s="35">
        <f>$AO$4+$AR$4*SIN(RADIANS(H$13-H$16+H$9))</f>
        <v>15.056545654351748</v>
      </c>
      <c r="AP18" s="35">
        <f>$AO$4+$AR$4*SIN(RADIANS(I$13-I$16+I$9))</f>
        <v>15.574529656641065</v>
      </c>
      <c r="AQ18" s="35">
        <f>$AO$4+$AR$4*SIN(RADIANS(J$13-J$16+J$9))</f>
        <v>16.086279825301748</v>
      </c>
      <c r="AR18" s="35">
        <f>$AP$4-$AR$4*COS(RADIANS(H$13-H$16+H$9))</f>
        <v>4.7342305324083753</v>
      </c>
      <c r="AS18" s="35">
        <f>$AP$4-$AR$4*COS(RADIANS(I$13-I$16+I$9))</f>
        <v>5.0581307046153263</v>
      </c>
      <c r="AT18" s="116">
        <f>$AP$4-$AR$4*COS(RADIANS(J$13-J$16+J$9))</f>
        <v>5.6225253212712385</v>
      </c>
      <c r="AV18" s="101"/>
      <c r="AW18" s="35">
        <f t="shared" si="18"/>
        <v>2.7028519806308715</v>
      </c>
      <c r="AX18" s="36">
        <f t="shared" si="19"/>
        <v>44.278772262226745</v>
      </c>
      <c r="AY18" s="35">
        <f t="shared" si="20"/>
        <v>2.7028519806308715</v>
      </c>
      <c r="AZ18" s="37">
        <f t="shared" si="21"/>
        <v>44.279485371004029</v>
      </c>
    </row>
    <row r="19" spans="3:52" ht="12.75" customHeight="1">
      <c r="D19" s="158"/>
      <c r="G19" s="4"/>
      <c r="H19" s="4"/>
      <c r="I19" s="4"/>
      <c r="J19" s="4"/>
      <c r="K19" s="4"/>
      <c r="L19" s="4"/>
      <c r="M19" s="4"/>
      <c r="N19" s="4"/>
      <c r="O19" s="4"/>
      <c r="P19" s="97"/>
      <c r="Q19" s="36">
        <f t="shared" si="22"/>
        <v>8.75</v>
      </c>
      <c r="R19" s="36">
        <f t="shared" si="14"/>
        <v>16.006090352091903</v>
      </c>
      <c r="S19" s="36"/>
      <c r="T19" s="36">
        <f t="shared" si="15"/>
        <v>3.6019236972134028</v>
      </c>
      <c r="U19" s="36">
        <f t="shared" si="15"/>
        <v>5.6280057768959413</v>
      </c>
      <c r="V19" s="36">
        <f t="shared" si="15"/>
        <v>8.1043283187301558</v>
      </c>
      <c r="W19" s="36">
        <f t="shared" si="15"/>
        <v>11.030891322716046</v>
      </c>
      <c r="X19" s="36">
        <f t="shared" si="15"/>
        <v>14.407694788853611</v>
      </c>
      <c r="Y19" s="36">
        <f t="shared" si="15"/>
        <v>18.23473871714285</v>
      </c>
      <c r="Z19" s="37">
        <f t="shared" si="15"/>
        <v>22.512023107583765</v>
      </c>
      <c r="AB19" s="97"/>
      <c r="AC19" s="36">
        <f t="shared" si="23"/>
        <v>8.75</v>
      </c>
      <c r="AD19" s="36">
        <f t="shared" si="16"/>
        <v>16.006291302766357</v>
      </c>
      <c r="AE19" s="36"/>
      <c r="AF19" s="36">
        <f t="shared" si="17"/>
        <v>3.6018401778140867</v>
      </c>
      <c r="AG19" s="36">
        <f t="shared" si="17"/>
        <v>5.6278752778345105</v>
      </c>
      <c r="AH19" s="36">
        <f t="shared" si="17"/>
        <v>8.1041404000816932</v>
      </c>
      <c r="AI19" s="36">
        <f t="shared" si="17"/>
        <v>11.03063554455564</v>
      </c>
      <c r="AJ19" s="36">
        <f t="shared" si="17"/>
        <v>14.407360711256347</v>
      </c>
      <c r="AK19" s="36">
        <f t="shared" si="17"/>
        <v>18.234315900183812</v>
      </c>
      <c r="AL19" s="37">
        <f t="shared" si="17"/>
        <v>22.511501111338042</v>
      </c>
      <c r="AN19" s="101" t="s">
        <v>126</v>
      </c>
      <c r="AO19" s="35">
        <f>AO$12+$AR$4*SIN(RADIANS(H$13-H$16))*(COS(RADIANS(H$9))-1)</f>
        <v>14</v>
      </c>
      <c r="AP19" s="35">
        <f>AP$12+$AR$4*SIN(RADIANS(I$13-I$16))*(COS(RADIANS(I$9))-1)</f>
        <v>14.549529814010574</v>
      </c>
      <c r="AQ19" s="35">
        <f>AQ$12+$AR$4*SIN(RADIANS(J$13-J$16))*(COS(RADIANS(J$9))-1)</f>
        <v>14.968245836551855</v>
      </c>
      <c r="AR19" s="35">
        <f>AR$12+$AR$4*SIN(RADIANS(H$13-H$16))*SIN(RADIANS(H$9))</f>
        <v>7</v>
      </c>
      <c r="AS19" s="35">
        <f>AS$12+$AR$4*SIN(RADIANS(I$13-I$16))*SIN(RADIANS(I$9))</f>
        <v>7.2562499606576232</v>
      </c>
      <c r="AT19" s="116">
        <f>AT$12+$AR$4*SIN(RADIANS(J$13-J$16))*SIN(RADIANS(J$9))</f>
        <v>7.5590169943749475</v>
      </c>
      <c r="AV19" s="101"/>
      <c r="AW19" s="35">
        <f t="shared" si="18"/>
        <v>1.9776040204689169</v>
      </c>
      <c r="AX19" s="36">
        <f t="shared" si="19"/>
        <v>32.012180704183791</v>
      </c>
      <c r="AY19" s="35">
        <f t="shared" si="20"/>
        <v>1.9776040204689169</v>
      </c>
      <c r="AZ19" s="37">
        <f t="shared" si="21"/>
        <v>32.012582605532714</v>
      </c>
    </row>
    <row r="20" spans="3:52">
      <c r="O20" s="4"/>
      <c r="P20" s="97"/>
      <c r="Q20" s="36">
        <f t="shared" si="22"/>
        <v>5.5</v>
      </c>
      <c r="R20" s="36">
        <f t="shared" si="14"/>
        <v>10.004806874745157</v>
      </c>
      <c r="S20" s="36"/>
      <c r="T20" s="36">
        <f t="shared" si="15"/>
        <v>2.3085882064715371</v>
      </c>
      <c r="U20" s="36">
        <f t="shared" si="15"/>
        <v>3.6071690726117764</v>
      </c>
      <c r="V20" s="36">
        <f t="shared" si="15"/>
        <v>5.1943234645609593</v>
      </c>
      <c r="W20" s="36">
        <f t="shared" si="15"/>
        <v>7.0700513823190807</v>
      </c>
      <c r="X20" s="36">
        <f t="shared" si="15"/>
        <v>9.2343528258861483</v>
      </c>
      <c r="Y20" s="36">
        <f t="shared" si="15"/>
        <v>11.687227795262157</v>
      </c>
      <c r="Z20" s="37">
        <f t="shared" si="15"/>
        <v>14.428676290447106</v>
      </c>
      <c r="AB20" s="97"/>
      <c r="AC20" s="36">
        <f t="shared" si="23"/>
        <v>5.5</v>
      </c>
      <c r="AD20" s="36">
        <f t="shared" si="16"/>
        <v>10.004888956802745</v>
      </c>
      <c r="AE20" s="36"/>
      <c r="AF20" s="36">
        <f t="shared" si="17"/>
        <v>2.3085513567165852</v>
      </c>
      <c r="AG20" s="36">
        <f t="shared" si="17"/>
        <v>3.6071114948696645</v>
      </c>
      <c r="AH20" s="36">
        <f t="shared" si="17"/>
        <v>5.1942405526123183</v>
      </c>
      <c r="AI20" s="36">
        <f t="shared" si="17"/>
        <v>7.069938529944543</v>
      </c>
      <c r="AJ20" s="36">
        <f t="shared" si="17"/>
        <v>9.2342054268663407</v>
      </c>
      <c r="AK20" s="36">
        <f t="shared" si="17"/>
        <v>11.687041243377713</v>
      </c>
      <c r="AL20" s="37">
        <f t="shared" si="17"/>
        <v>14.428445979478658</v>
      </c>
      <c r="AN20" s="101" t="s">
        <v>31</v>
      </c>
      <c r="AO20" s="35">
        <f>$AO$4</f>
        <v>14</v>
      </c>
      <c r="AP20" s="35">
        <f>$AO$4</f>
        <v>14</v>
      </c>
      <c r="AQ20" s="35">
        <f>$AO$4</f>
        <v>14</v>
      </c>
      <c r="AR20" s="35">
        <f>$AP$4</f>
        <v>7</v>
      </c>
      <c r="AS20" s="35">
        <f>$AP$4</f>
        <v>7</v>
      </c>
      <c r="AT20" s="116">
        <f>$AP$4</f>
        <v>7</v>
      </c>
      <c r="AV20" s="101"/>
      <c r="AW20" s="35">
        <f t="shared" si="18"/>
        <v>1.2459947827629119</v>
      </c>
      <c r="AX20" s="36">
        <f t="shared" si="19"/>
        <v>20.009613749490306</v>
      </c>
      <c r="AY20" s="35">
        <f t="shared" si="20"/>
        <v>1.2459947827629119</v>
      </c>
      <c r="AZ20" s="37">
        <f t="shared" si="21"/>
        <v>20.00977791360549</v>
      </c>
    </row>
    <row r="21" spans="3:52" ht="12.75" customHeight="1" thickBot="1">
      <c r="O21" s="4"/>
      <c r="P21" s="97"/>
      <c r="Q21" s="36">
        <f t="shared" si="22"/>
        <v>2.25</v>
      </c>
      <c r="R21" s="36">
        <f t="shared" si="14"/>
        <v>4.0807791626306908</v>
      </c>
      <c r="S21" s="36"/>
      <c r="T21" s="36">
        <f t="shared" si="15"/>
        <v>0.95412079653967208</v>
      </c>
      <c r="U21" s="36">
        <f t="shared" si="15"/>
        <v>1.4908137445932375</v>
      </c>
      <c r="V21" s="36">
        <f t="shared" si="15"/>
        <v>2.146771792214262</v>
      </c>
      <c r="W21" s="36">
        <f t="shared" si="15"/>
        <v>2.9219949394027456</v>
      </c>
      <c r="X21" s="36">
        <f t="shared" si="15"/>
        <v>3.8164831861586883</v>
      </c>
      <c r="Y21" s="36">
        <f t="shared" si="15"/>
        <v>4.8302365324820897</v>
      </c>
      <c r="Z21" s="37">
        <f t="shared" si="15"/>
        <v>5.9632549783729498</v>
      </c>
      <c r="AB21" s="97"/>
      <c r="AC21" s="36">
        <f t="shared" si="23"/>
        <v>2.25</v>
      </c>
      <c r="AD21" s="36">
        <f t="shared" si="16"/>
        <v>4.0807931238957451</v>
      </c>
      <c r="AE21" s="36"/>
      <c r="AF21" s="36">
        <f t="shared" si="17"/>
        <v>0.95411429618259025</v>
      </c>
      <c r="AG21" s="36">
        <f t="shared" si="17"/>
        <v>1.490803587785297</v>
      </c>
      <c r="AH21" s="36">
        <f t="shared" si="17"/>
        <v>2.1467571664108278</v>
      </c>
      <c r="AI21" s="36">
        <f t="shared" si="17"/>
        <v>2.9219750320591826</v>
      </c>
      <c r="AJ21" s="36">
        <f t="shared" si="17"/>
        <v>3.816457184730361</v>
      </c>
      <c r="AK21" s="36">
        <f t="shared" si="17"/>
        <v>4.8302036244243629</v>
      </c>
      <c r="AL21" s="37">
        <f t="shared" si="17"/>
        <v>5.9632143511411879</v>
      </c>
      <c r="AN21" s="120" t="s">
        <v>35</v>
      </c>
      <c r="AO21" s="28">
        <f>AO$14+$AS$4*(COS(RADIANS(H$9))-1)</f>
        <v>18.531538935183249</v>
      </c>
      <c r="AP21" s="28">
        <f>AP$14+$AS$4*(COS(RADIANS(I$9))-1)</f>
        <v>18.531538935183249</v>
      </c>
      <c r="AQ21" s="28">
        <f>AQ$14+$AS$4*(COS(RADIANS(J$9))-1)</f>
        <v>18.330127018922195</v>
      </c>
      <c r="AR21" s="28">
        <f>AR$14+$AS$4*SIN(RADIANS(H$9))</f>
        <v>9.1130913087034973</v>
      </c>
      <c r="AS21" s="28">
        <f>AS$14+$AS$4*SIN(RADIANS(I$9))</f>
        <v>9.1130913087034973</v>
      </c>
      <c r="AT21" s="29">
        <f>AT$14+$AS$4*SIN(RADIANS(J$9))</f>
        <v>9.5</v>
      </c>
      <c r="AV21" s="101"/>
      <c r="AW21" s="35">
        <f t="shared" si="18"/>
        <v>0.51037760486789197</v>
      </c>
      <c r="AX21" s="36">
        <f t="shared" si="19"/>
        <v>8.1615583252613781</v>
      </c>
      <c r="AY21" s="35">
        <f t="shared" si="20"/>
        <v>0.51037760486789197</v>
      </c>
      <c r="AZ21" s="37">
        <f t="shared" si="21"/>
        <v>8.1615862477914902</v>
      </c>
    </row>
    <row r="22" spans="3:52">
      <c r="O22" s="4"/>
      <c r="P22" s="110" t="s">
        <v>93</v>
      </c>
      <c r="Q22" s="111">
        <f>$J$9</f>
        <v>30</v>
      </c>
      <c r="R22" s="112">
        <f t="shared" ref="R22:R29" si="24">-$J$17+DEGREES(ASIN((SIN(RADIANS(90-$J$16+Q22))-SIN(RADIANS(90-$J$16)))/((SIN(RADIANS(90-$J$16+$J$9))-SIN(RADIANS(90-$J$16)))/(SIN(RADIANS($J$17+$J$7-90))-SIN(RADIANS($J$17-90))))+SIN(RADIANS($J$17-90))))+90</f>
        <v>60</v>
      </c>
      <c r="S22" s="112"/>
      <c r="T22" s="93">
        <f t="shared" ref="T22:Z29" si="25">0.0000085*($J$4^2*$J$5*T$3^2*SIN(RADIANS($Q22))*(COS(RADIANS($J$17+$R22-90))/COS(RADIANS(90-$J$16+$Q22)))*(SIN(RADIANS(90-$J$16+$Q22))-SIN(RADIANS(90-$J$16)))/(SIN(RADIANS($J$17+$R22-90))-SIN(RADIANS($J$17-90))))</f>
        <v>13.831498205585801</v>
      </c>
      <c r="U22" s="93">
        <f t="shared" si="25"/>
        <v>21.611715946227818</v>
      </c>
      <c r="V22" s="93">
        <f t="shared" si="25"/>
        <v>31.120870962568052</v>
      </c>
      <c r="W22" s="93">
        <f t="shared" si="25"/>
        <v>42.358963254606515</v>
      </c>
      <c r="X22" s="93">
        <f t="shared" si="25"/>
        <v>55.325992822343203</v>
      </c>
      <c r="Y22" s="93">
        <f t="shared" si="25"/>
        <v>70.021959665778127</v>
      </c>
      <c r="Z22" s="113">
        <f t="shared" si="25"/>
        <v>86.446863784911272</v>
      </c>
      <c r="AB22" s="110" t="s">
        <v>93</v>
      </c>
      <c r="AC22" s="111">
        <f>$J$10</f>
        <v>30</v>
      </c>
      <c r="AD22" s="112">
        <f t="shared" ref="AD22:AD29" si="26">$J$17-DEGREES(ASIN((SIN(RADIANS(90-$J$16+-AC22))-SIN(RADIANS(90-$J$16)))/((SIN(RADIANS(90-$J$16+$J$9))-SIN(RADIANS(90-$J$16)))/(SIN(RADIANS($J$17+$J$7-90))-SIN(RADIANS($J$17-90))))+SIN(RADIANS($J$17-90))))-90</f>
        <v>60</v>
      </c>
      <c r="AE22" s="112"/>
      <c r="AF22" s="93">
        <f t="shared" ref="AF22:AL29" si="27">0.0000085*($J$4^2*$J$5*AF$3^2*SIN(RADIANS($AC22))*(COS(RADIANS($J$17+-$AD22-90))/COS(RADIANS(90-$J$16+-$AC22)))*(SIN(RADIANS(90-$J$16+-$AC22))-SIN(RADIANS(90-$J$16)))/(SIN(RADIANS($J$17+-$AD22-90))-SIN(RADIANS($J$17-90))))</f>
        <v>17.896233722093907</v>
      </c>
      <c r="AG22" s="93">
        <f t="shared" si="27"/>
        <v>27.962865190771726</v>
      </c>
      <c r="AH22" s="93">
        <f t="shared" si="27"/>
        <v>40.266525874711284</v>
      </c>
      <c r="AI22" s="93">
        <f t="shared" si="27"/>
        <v>54.807215773912574</v>
      </c>
      <c r="AJ22" s="93">
        <f t="shared" si="27"/>
        <v>71.584934888375628</v>
      </c>
      <c r="AK22" s="93">
        <f t="shared" si="27"/>
        <v>90.599683218100409</v>
      </c>
      <c r="AL22" s="113">
        <f t="shared" si="27"/>
        <v>111.85146076308691</v>
      </c>
      <c r="AN22" s="114" t="s">
        <v>101</v>
      </c>
      <c r="AO22" s="93"/>
      <c r="AP22" s="93"/>
      <c r="AQ22" s="93"/>
      <c r="AR22" s="93"/>
      <c r="AS22" s="93"/>
      <c r="AT22" s="113"/>
      <c r="AV22" s="114" t="s">
        <v>133</v>
      </c>
      <c r="AW22" s="17">
        <f t="shared" ref="AW22:AW29" si="28">$J$4*SIN(RADIANS($Q22))</f>
        <v>8.9999999999999982</v>
      </c>
      <c r="AX22" s="93">
        <f t="shared" ref="AX22:AX29" si="29">100*$R22/$R$22</f>
        <v>100</v>
      </c>
      <c r="AY22" s="17">
        <f t="shared" ref="AY22:AY29" si="30">$J$4*SIN(RADIANS($AC22))</f>
        <v>8.9999999999999982</v>
      </c>
      <c r="AZ22" s="113">
        <f t="shared" ref="AZ22:AZ29" si="31">100*$AD22/$AD$22</f>
        <v>100</v>
      </c>
    </row>
    <row r="23" spans="3:52">
      <c r="O23" s="4"/>
      <c r="P23" s="97"/>
      <c r="Q23" s="36">
        <f t="shared" ref="Q23:Q29" si="32">Q22-0.13*$Q$22</f>
        <v>26.1</v>
      </c>
      <c r="R23" s="36">
        <f t="shared" si="24"/>
        <v>48.856006115912152</v>
      </c>
      <c r="S23" s="36"/>
      <c r="T23" s="36">
        <f t="shared" si="25"/>
        <v>17.866080607568868</v>
      </c>
      <c r="U23" s="36">
        <f t="shared" si="25"/>
        <v>27.915750949326362</v>
      </c>
      <c r="V23" s="36">
        <f t="shared" si="25"/>
        <v>40.198681367029963</v>
      </c>
      <c r="W23" s="36">
        <f t="shared" si="25"/>
        <v>54.714871860679651</v>
      </c>
      <c r="X23" s="36">
        <f t="shared" si="25"/>
        <v>71.464322430275473</v>
      </c>
      <c r="Y23" s="36">
        <f t="shared" si="25"/>
        <v>90.447033075817387</v>
      </c>
      <c r="Z23" s="37">
        <f t="shared" si="25"/>
        <v>111.66300379730545</v>
      </c>
      <c r="AB23" s="97"/>
      <c r="AC23" s="36">
        <f t="shared" ref="AC23:AC29" si="33">AC22-0.13*$AC$22</f>
        <v>26.1</v>
      </c>
      <c r="AD23" s="36">
        <f t="shared" si="26"/>
        <v>50.095850475268918</v>
      </c>
      <c r="AE23" s="36"/>
      <c r="AF23" s="36">
        <f t="shared" si="27"/>
        <v>18.37724983003471</v>
      </c>
      <c r="AG23" s="36">
        <f t="shared" si="27"/>
        <v>28.714452859429237</v>
      </c>
      <c r="AH23" s="36">
        <f t="shared" si="27"/>
        <v>41.348812117578106</v>
      </c>
      <c r="AI23" s="36">
        <f t="shared" si="27"/>
        <v>56.280327604481293</v>
      </c>
      <c r="AJ23" s="36">
        <f t="shared" si="27"/>
        <v>73.508999320138841</v>
      </c>
      <c r="AK23" s="36">
        <f t="shared" si="27"/>
        <v>93.034827264550714</v>
      </c>
      <c r="AL23" s="37">
        <f t="shared" si="27"/>
        <v>114.85781143771695</v>
      </c>
      <c r="AN23" s="101" t="s">
        <v>33</v>
      </c>
      <c r="AO23" s="35">
        <f>$AO$4+$AR$4*SIN(RADIANS(H$13-H$16))-$AQ$4*SIN(RADIANS(H$13))+AO$7*COS(RADIANS(-90+H$17+H$13))</f>
        <v>4.2266671626090924</v>
      </c>
      <c r="AP23" s="35">
        <f>$AO$4+$AR$4*SIN(RADIANS(I$13-I$16))-$AQ$4*SIN(RADIANS(I$13))+AP$7*COS(RADIANS(-90+I$17+I$13))</f>
        <v>4.569315304369173</v>
      </c>
      <c r="AQ23" s="35">
        <f>$AO$4+$AR$4*SIN(RADIANS(J$13-J$16))-$AQ$4*SIN(RADIANS(J$13))+AQ$7*COS(RADIANS(-90+J$17+J$13))</f>
        <v>4.8184576843538132</v>
      </c>
      <c r="AR23" s="35">
        <f>$AP$4-$AR$4*COS(RADIANS(H$13-H$16))+$AQ$4*COS(RADIANS(H$13))+AR$7*SIN(RADIANS(-90+H$17+H$13))</f>
        <v>5.5891274885534159</v>
      </c>
      <c r="AS23" s="35">
        <f>$AP$4-$AR$4*COS(RADIANS(I$13-I$16))+$AQ$4*COS(RADIANS(I$13))+AS$7*SIN(RADIANS(-90+I$17+I$13))</f>
        <v>3.4935777791277447</v>
      </c>
      <c r="AT23" s="116">
        <f>$AP$4-$AR$4*COS(RADIANS(J$13-J$16))+$AQ$4*COS(RADIANS(J$13))+AT$7*SIN(RADIANS(-90+J$17+J$13))</f>
        <v>6.0549264712360165</v>
      </c>
      <c r="AV23" s="101"/>
      <c r="AW23" s="35">
        <f t="shared" si="28"/>
        <v>7.9189050574064721</v>
      </c>
      <c r="AX23" s="36">
        <f t="shared" si="29"/>
        <v>81.426676859853586</v>
      </c>
      <c r="AY23" s="35">
        <f t="shared" si="30"/>
        <v>7.9189050574064721</v>
      </c>
      <c r="AZ23" s="37">
        <f t="shared" si="31"/>
        <v>83.493084125448192</v>
      </c>
    </row>
    <row r="24" spans="3:52">
      <c r="O24" s="4"/>
      <c r="P24" s="97"/>
      <c r="Q24" s="36">
        <f t="shared" si="32"/>
        <v>22.200000000000003</v>
      </c>
      <c r="R24" s="36">
        <f t="shared" si="24"/>
        <v>40.162235895412842</v>
      </c>
      <c r="S24" s="36"/>
      <c r="T24" s="36">
        <f t="shared" si="25"/>
        <v>17.955839278566199</v>
      </c>
      <c r="U24" s="36">
        <f t="shared" si="25"/>
        <v>28.055998872759687</v>
      </c>
      <c r="V24" s="36">
        <f t="shared" si="25"/>
        <v>40.400638376773948</v>
      </c>
      <c r="W24" s="36">
        <f t="shared" si="25"/>
        <v>54.989757790608984</v>
      </c>
      <c r="X24" s="36">
        <f t="shared" si="25"/>
        <v>71.823357114264795</v>
      </c>
      <c r="Y24" s="36">
        <f t="shared" si="25"/>
        <v>90.901436347741367</v>
      </c>
      <c r="Z24" s="37">
        <f t="shared" si="25"/>
        <v>112.22399549103875</v>
      </c>
      <c r="AB24" s="97"/>
      <c r="AC24" s="36">
        <f t="shared" si="33"/>
        <v>22.200000000000003</v>
      </c>
      <c r="AD24" s="36">
        <f t="shared" si="26"/>
        <v>41.358068759517323</v>
      </c>
      <c r="AE24" s="36"/>
      <c r="AF24" s="36">
        <f t="shared" si="27"/>
        <v>17.458996391253187</v>
      </c>
      <c r="AG24" s="36">
        <f t="shared" si="27"/>
        <v>27.279681861333103</v>
      </c>
      <c r="AH24" s="36">
        <f t="shared" si="27"/>
        <v>39.282741880319662</v>
      </c>
      <c r="AI24" s="36">
        <f t="shared" si="27"/>
        <v>53.46817644821288</v>
      </c>
      <c r="AJ24" s="36">
        <f t="shared" si="27"/>
        <v>69.835985565012749</v>
      </c>
      <c r="AK24" s="36">
        <f t="shared" si="27"/>
        <v>88.386169230719247</v>
      </c>
      <c r="AL24" s="37">
        <f t="shared" si="27"/>
        <v>109.11872744533241</v>
      </c>
      <c r="AN24" s="101" t="s">
        <v>124</v>
      </c>
      <c r="AO24" s="35">
        <f>AO23-AO$7*SIN(RADIANS(180-H$17-H$13+H$8))</f>
        <v>3.3529523872436986</v>
      </c>
      <c r="AP24" s="35">
        <f>AP23-AP$7*SIN(RADIANS(180-I$17-I$13+I$8))</f>
        <v>3.758964449887392</v>
      </c>
      <c r="AQ24" s="35">
        <f>AQ23-AQ$7*SIN(RADIANS(180-J$17-J$13+J$8))</f>
        <v>3.8502118478019591</v>
      </c>
      <c r="AR24" s="35">
        <f>AR23-AR$7*COS(RADIANS(180-H$17-H$13+H$8))</f>
        <v>4.9005062717468721</v>
      </c>
      <c r="AS24" s="35">
        <f>AS23-AS$7*COS(RADIANS(180-I$17-I$13+I$8))</f>
        <v>2.3775198377105031</v>
      </c>
      <c r="AT24" s="116">
        <f>AT23-AT$7*COS(RADIANS(180-J$17-J$13+J$8))</f>
        <v>5.1499885568892481</v>
      </c>
      <c r="AV24" s="101"/>
      <c r="AW24" s="35">
        <f t="shared" si="28"/>
        <v>6.8011341627324091</v>
      </c>
      <c r="AX24" s="36">
        <f t="shared" si="29"/>
        <v>66.937059825688067</v>
      </c>
      <c r="AY24" s="35">
        <f t="shared" si="30"/>
        <v>6.8011341627324091</v>
      </c>
      <c r="AZ24" s="37">
        <f t="shared" si="31"/>
        <v>68.930114599195534</v>
      </c>
    </row>
    <row r="25" spans="3:52">
      <c r="O25" s="4"/>
      <c r="P25" s="97"/>
      <c r="Q25" s="36">
        <f t="shared" si="32"/>
        <v>18.300000000000004</v>
      </c>
      <c r="R25" s="36">
        <f t="shared" si="24"/>
        <v>32.427787885748948</v>
      </c>
      <c r="S25" s="36"/>
      <c r="T25" s="36">
        <f t="shared" si="25"/>
        <v>16.249561413395579</v>
      </c>
      <c r="U25" s="36">
        <f t="shared" si="25"/>
        <v>25.389939708430589</v>
      </c>
      <c r="V25" s="36">
        <f t="shared" si="25"/>
        <v>36.561513180140054</v>
      </c>
      <c r="W25" s="36">
        <f t="shared" si="25"/>
        <v>49.764281828523956</v>
      </c>
      <c r="X25" s="36">
        <f t="shared" si="25"/>
        <v>64.998245653582316</v>
      </c>
      <c r="Y25" s="36">
        <f t="shared" si="25"/>
        <v>82.263404655315114</v>
      </c>
      <c r="Z25" s="37">
        <f t="shared" si="25"/>
        <v>101.55975883372236</v>
      </c>
      <c r="AB25" s="97"/>
      <c r="AC25" s="36">
        <f t="shared" si="33"/>
        <v>18.300000000000004</v>
      </c>
      <c r="AD25" s="36">
        <f t="shared" si="26"/>
        <v>33.331283303456544</v>
      </c>
      <c r="AE25" s="36"/>
      <c r="AF25" s="36">
        <f t="shared" si="27"/>
        <v>15.574089974631539</v>
      </c>
      <c r="AG25" s="36">
        <f t="shared" si="27"/>
        <v>24.334515585361785</v>
      </c>
      <c r="AH25" s="36">
        <f t="shared" si="27"/>
        <v>35.041702442920965</v>
      </c>
      <c r="AI25" s="36">
        <f t="shared" si="27"/>
        <v>47.695650547309093</v>
      </c>
      <c r="AJ25" s="36">
        <f t="shared" si="27"/>
        <v>62.296359898526156</v>
      </c>
      <c r="AK25" s="36">
        <f t="shared" si="27"/>
        <v>78.843830496572167</v>
      </c>
      <c r="AL25" s="37">
        <f t="shared" si="27"/>
        <v>97.338062341447142</v>
      </c>
      <c r="AN25" s="101" t="s">
        <v>125</v>
      </c>
      <c r="AO25" s="35">
        <f>$AO$4+$AR$4*SIN(RADIANS(H$13-H$16-H$10))</f>
        <v>13.352952387243699</v>
      </c>
      <c r="AP25" s="35">
        <f>$AO$4+$AR$4*SIN(RADIANS(I$13-I$16-I$10))</f>
        <v>13.524529971380083</v>
      </c>
      <c r="AQ25" s="35">
        <f>$AO$4+$AR$4*SIN(RADIANS(J$13-J$16-J$10))</f>
        <v>13.85021184780196</v>
      </c>
      <c r="AR25" s="35">
        <f>$AP$4-$AR$4*COS(RADIANS(H$13-H$16-H$10))</f>
        <v>4.5851854342773297</v>
      </c>
      <c r="AS25" s="35">
        <f>$AP$4-$AR$4*COS(RADIANS(I$13-I$16-I$10))</f>
        <v>4.5456307833000809</v>
      </c>
      <c r="AT25" s="116">
        <f>$AP$4-$AR$4*COS(RADIANS(J$13-J$16-J$10))</f>
        <v>4.5044913325213436</v>
      </c>
      <c r="AV25" s="101"/>
      <c r="AW25" s="35">
        <f t="shared" si="28"/>
        <v>5.6518642074132899</v>
      </c>
      <c r="AX25" s="36">
        <f t="shared" si="29"/>
        <v>54.046313142914912</v>
      </c>
      <c r="AY25" s="35">
        <f t="shared" si="30"/>
        <v>5.6518642074132899</v>
      </c>
      <c r="AZ25" s="37">
        <f t="shared" si="31"/>
        <v>55.552138839094241</v>
      </c>
    </row>
    <row r="26" spans="3:52">
      <c r="O26" s="4"/>
      <c r="P26" s="97"/>
      <c r="Q26" s="36">
        <f t="shared" si="32"/>
        <v>14.400000000000004</v>
      </c>
      <c r="R26" s="36">
        <f t="shared" si="24"/>
        <v>25.188727392735331</v>
      </c>
      <c r="S26" s="36"/>
      <c r="T26" s="36">
        <f t="shared" si="25"/>
        <v>13.532564839096404</v>
      </c>
      <c r="U26" s="36">
        <f t="shared" si="25"/>
        <v>21.14463256108813</v>
      </c>
      <c r="V26" s="36">
        <f t="shared" si="25"/>
        <v>30.44827088796691</v>
      </c>
      <c r="W26" s="36">
        <f t="shared" si="25"/>
        <v>41.443479819732723</v>
      </c>
      <c r="X26" s="36">
        <f t="shared" si="25"/>
        <v>54.130259356385615</v>
      </c>
      <c r="Y26" s="36">
        <f t="shared" si="25"/>
        <v>68.508609497925534</v>
      </c>
      <c r="Z26" s="37">
        <f t="shared" si="25"/>
        <v>84.578530244352521</v>
      </c>
      <c r="AB26" s="97"/>
      <c r="AC26" s="36">
        <f t="shared" si="33"/>
        <v>14.400000000000004</v>
      </c>
      <c r="AD26" s="36">
        <f t="shared" si="26"/>
        <v>25.776488673827146</v>
      </c>
      <c r="AE26" s="36"/>
      <c r="AF26" s="36">
        <f t="shared" si="27"/>
        <v>12.985198293804519</v>
      </c>
      <c r="AG26" s="36">
        <f t="shared" si="27"/>
        <v>20.289372334069562</v>
      </c>
      <c r="AH26" s="36">
        <f t="shared" si="27"/>
        <v>29.216696161060167</v>
      </c>
      <c r="AI26" s="36">
        <f t="shared" si="27"/>
        <v>39.767169774776335</v>
      </c>
      <c r="AJ26" s="36">
        <f t="shared" si="27"/>
        <v>51.940793175218076</v>
      </c>
      <c r="AK26" s="36">
        <f t="shared" si="27"/>
        <v>65.73756636238538</v>
      </c>
      <c r="AL26" s="37">
        <f t="shared" si="27"/>
        <v>81.157489336278246</v>
      </c>
      <c r="AN26" s="101" t="s">
        <v>126</v>
      </c>
      <c r="AO26" s="35">
        <f>AO$12+$AR$4*SIN(RADIANS(H$13-H$16))*(COS(RADIANS(H$10))-1)</f>
        <v>14</v>
      </c>
      <c r="AP26" s="35">
        <f>AP$12+$AR$4*SIN(RADIANS(I$13-I$16))*(COS(RADIANS(I$10))-1)</f>
        <v>14.549529814010574</v>
      </c>
      <c r="AQ26" s="35">
        <f>AQ$12+$AR$4*SIN(RADIANS(J$13-J$16))*(COS(RADIANS(J$10))-1)</f>
        <v>14.968245836551855</v>
      </c>
      <c r="AR26" s="35">
        <f>AR$12-$AR$4*SIN(RADIANS(H$13-H$16))*SIN(RADIANS(H$10))</f>
        <v>7</v>
      </c>
      <c r="AS26" s="35">
        <f>AS$12-$AR$4*SIN(RADIANS(I$13-I$16))*SIN(RADIANS(I$10))</f>
        <v>6.7437500393423768</v>
      </c>
      <c r="AT26" s="116">
        <f>AT$12-$AR$4*SIN(RADIANS(J$13-J$16))*SIN(RADIANS(J$10))</f>
        <v>6.4409830056250525</v>
      </c>
      <c r="AV26" s="101"/>
      <c r="AW26" s="35">
        <f t="shared" si="28"/>
        <v>4.4764179689673878</v>
      </c>
      <c r="AX26" s="36">
        <f t="shared" si="29"/>
        <v>41.981212321225556</v>
      </c>
      <c r="AY26" s="35">
        <f t="shared" si="30"/>
        <v>4.4764179689673878</v>
      </c>
      <c r="AZ26" s="37">
        <f t="shared" si="31"/>
        <v>42.960814456378571</v>
      </c>
    </row>
    <row r="27" spans="3:52">
      <c r="P27" s="97"/>
      <c r="Q27" s="36">
        <f t="shared" si="32"/>
        <v>10.500000000000004</v>
      </c>
      <c r="R27" s="36">
        <f t="shared" si="24"/>
        <v>18.227011144381834</v>
      </c>
      <c r="S27" s="36"/>
      <c r="T27" s="36">
        <f t="shared" si="25"/>
        <v>10.211575414391914</v>
      </c>
      <c r="U27" s="36">
        <f t="shared" si="25"/>
        <v>15.955586584987362</v>
      </c>
      <c r="V27" s="36">
        <f t="shared" si="25"/>
        <v>22.976044682381808</v>
      </c>
      <c r="W27" s="36">
        <f t="shared" si="25"/>
        <v>31.272949706575236</v>
      </c>
      <c r="X27" s="36">
        <f t="shared" si="25"/>
        <v>40.846301657567658</v>
      </c>
      <c r="Y27" s="36">
        <f t="shared" si="25"/>
        <v>51.696100535359065</v>
      </c>
      <c r="Z27" s="37">
        <f t="shared" si="25"/>
        <v>63.822346339949448</v>
      </c>
      <c r="AB27" s="97"/>
      <c r="AC27" s="36">
        <f t="shared" si="33"/>
        <v>10.500000000000004</v>
      </c>
      <c r="AD27" s="36">
        <f t="shared" si="26"/>
        <v>18.547470382733422</v>
      </c>
      <c r="AE27" s="36"/>
      <c r="AF27" s="36">
        <f t="shared" si="27"/>
        <v>9.8774889674126207</v>
      </c>
      <c r="AG27" s="36">
        <f t="shared" si="27"/>
        <v>15.433576511582219</v>
      </c>
      <c r="AH27" s="36">
        <f t="shared" si="27"/>
        <v>22.224350176678396</v>
      </c>
      <c r="AI27" s="36">
        <f t="shared" si="27"/>
        <v>30.24980996270115</v>
      </c>
      <c r="AJ27" s="36">
        <f t="shared" si="27"/>
        <v>39.509955869650483</v>
      </c>
      <c r="AK27" s="36">
        <f t="shared" si="27"/>
        <v>50.004787897526384</v>
      </c>
      <c r="AL27" s="37">
        <f t="shared" si="27"/>
        <v>61.734306046328875</v>
      </c>
      <c r="AN27" s="101" t="s">
        <v>31</v>
      </c>
      <c r="AO27" s="35">
        <f>$AO$4</f>
        <v>14</v>
      </c>
      <c r="AP27" s="35">
        <f>$AO$4</f>
        <v>14</v>
      </c>
      <c r="AQ27" s="35">
        <f>$AO$4</f>
        <v>14</v>
      </c>
      <c r="AR27" s="35">
        <f>$AP$4</f>
        <v>7</v>
      </c>
      <c r="AS27" s="35">
        <f>$AP$4</f>
        <v>7</v>
      </c>
      <c r="AT27" s="116">
        <f>$AP$4</f>
        <v>7</v>
      </c>
      <c r="AV27" s="101"/>
      <c r="AW27" s="35">
        <f t="shared" si="28"/>
        <v>3.2802394588586554</v>
      </c>
      <c r="AX27" s="36">
        <f t="shared" si="29"/>
        <v>30.378351907303056</v>
      </c>
      <c r="AY27" s="35">
        <f t="shared" si="30"/>
        <v>3.2802394588586554</v>
      </c>
      <c r="AZ27" s="37">
        <f t="shared" si="31"/>
        <v>30.912450637889037</v>
      </c>
    </row>
    <row r="28" spans="3:52" ht="13.5" thickBot="1">
      <c r="P28" s="97"/>
      <c r="Q28" s="36">
        <f t="shared" si="32"/>
        <v>6.6000000000000032</v>
      </c>
      <c r="R28" s="36">
        <f t="shared" si="24"/>
        <v>11.415844358335065</v>
      </c>
      <c r="S28" s="36"/>
      <c r="T28" s="36">
        <f t="shared" si="25"/>
        <v>6.5385381715006918</v>
      </c>
      <c r="U28" s="36">
        <f t="shared" si="25"/>
        <v>10.216465892969829</v>
      </c>
      <c r="V28" s="36">
        <f t="shared" si="25"/>
        <v>14.711710885876554</v>
      </c>
      <c r="W28" s="36">
        <f t="shared" si="25"/>
        <v>20.024273150220864</v>
      </c>
      <c r="X28" s="36">
        <f t="shared" si="25"/>
        <v>26.154152686002767</v>
      </c>
      <c r="Y28" s="36">
        <f t="shared" si="25"/>
        <v>33.101349493222244</v>
      </c>
      <c r="Z28" s="37">
        <f t="shared" si="25"/>
        <v>40.865863571879316</v>
      </c>
      <c r="AB28" s="97"/>
      <c r="AC28" s="36">
        <f t="shared" si="33"/>
        <v>6.6000000000000032</v>
      </c>
      <c r="AD28" s="36">
        <f t="shared" si="26"/>
        <v>11.544103324007878</v>
      </c>
      <c r="AE28" s="36"/>
      <c r="AF28" s="36">
        <f t="shared" si="27"/>
        <v>6.3963261514132874</v>
      </c>
      <c r="AG28" s="36">
        <f t="shared" si="27"/>
        <v>9.99425961158326</v>
      </c>
      <c r="AH28" s="36">
        <f t="shared" si="27"/>
        <v>14.391733840679896</v>
      </c>
      <c r="AI28" s="36">
        <f t="shared" si="27"/>
        <v>19.588748838703189</v>
      </c>
      <c r="AJ28" s="36">
        <f t="shared" si="27"/>
        <v>25.58530460565315</v>
      </c>
      <c r="AK28" s="36">
        <f t="shared" si="27"/>
        <v>32.381401141529764</v>
      </c>
      <c r="AL28" s="37">
        <f t="shared" si="27"/>
        <v>39.97703844633304</v>
      </c>
      <c r="AN28" s="120" t="s">
        <v>35</v>
      </c>
      <c r="AO28" s="28">
        <f>AO$14+$AS$4*(COS(RADIANS(H$10))-1)</f>
        <v>18.829629131445341</v>
      </c>
      <c r="AP28" s="28">
        <f>AP$14+$AS$4*(COS(RADIANS(I$10))-1)</f>
        <v>18.531538935183249</v>
      </c>
      <c r="AQ28" s="28">
        <f>AQ$14+$AS$4*(COS(RADIANS(J$10))-1)</f>
        <v>18.330127018922195</v>
      </c>
      <c r="AR28" s="28">
        <f>AR$14-$AS$4*SIN(RADIANS(H$10))</f>
        <v>5.7059047744873963</v>
      </c>
      <c r="AS28" s="28">
        <f>AS$14-$AS$4*SIN(RADIANS(I$10))</f>
        <v>4.8869086912965027</v>
      </c>
      <c r="AT28" s="29">
        <f>AT$14-$AS$4*SIN(RADIANS(J$10))</f>
        <v>4.5</v>
      </c>
      <c r="AV28" s="101"/>
      <c r="AW28" s="35">
        <f t="shared" si="28"/>
        <v>2.0688687088715998</v>
      </c>
      <c r="AX28" s="36">
        <f t="shared" si="29"/>
        <v>19.026407263891773</v>
      </c>
      <c r="AY28" s="35">
        <f t="shared" si="30"/>
        <v>2.0688687088715998</v>
      </c>
      <c r="AZ28" s="37">
        <f t="shared" si="31"/>
        <v>19.240172206679798</v>
      </c>
    </row>
    <row r="29" spans="3:52" ht="13.5" thickBot="1">
      <c r="P29" s="97"/>
      <c r="Q29" s="36">
        <f t="shared" si="32"/>
        <v>2.7000000000000028</v>
      </c>
      <c r="R29" s="36">
        <f t="shared" si="24"/>
        <v>4.6690087316961524</v>
      </c>
      <c r="S29" s="50"/>
      <c r="T29" s="50">
        <f t="shared" si="25"/>
        <v>2.6911875606597064</v>
      </c>
      <c r="U29" s="36">
        <f t="shared" si="25"/>
        <v>4.2049805635307917</v>
      </c>
      <c r="V29" s="36">
        <f t="shared" si="25"/>
        <v>6.0551720114843404</v>
      </c>
      <c r="W29" s="36">
        <f t="shared" si="25"/>
        <v>8.2417619045203505</v>
      </c>
      <c r="X29" s="36">
        <f t="shared" si="25"/>
        <v>10.764750242638826</v>
      </c>
      <c r="Y29" s="36">
        <f t="shared" si="25"/>
        <v>13.624137025839763</v>
      </c>
      <c r="Z29" s="37">
        <f t="shared" si="25"/>
        <v>16.819922254123167</v>
      </c>
      <c r="AB29" s="97"/>
      <c r="AC29" s="36">
        <f t="shared" si="33"/>
        <v>2.7000000000000028</v>
      </c>
      <c r="AD29" s="36">
        <f t="shared" si="26"/>
        <v>4.6905990661715293</v>
      </c>
      <c r="AE29" s="50"/>
      <c r="AF29" s="50">
        <f t="shared" si="27"/>
        <v>2.6665312815410593</v>
      </c>
      <c r="AG29" s="36">
        <f t="shared" si="27"/>
        <v>4.1664551274079056</v>
      </c>
      <c r="AH29" s="36">
        <f t="shared" si="27"/>
        <v>5.9996953834673841</v>
      </c>
      <c r="AI29" s="36">
        <f t="shared" si="27"/>
        <v>8.1662520497194944</v>
      </c>
      <c r="AJ29" s="36">
        <f t="shared" si="27"/>
        <v>10.666125126164237</v>
      </c>
      <c r="AK29" s="36">
        <f t="shared" si="27"/>
        <v>13.499314612801614</v>
      </c>
      <c r="AL29" s="37">
        <f t="shared" si="27"/>
        <v>16.665820509631622</v>
      </c>
      <c r="AV29" s="120"/>
      <c r="AW29" s="28">
        <f t="shared" si="28"/>
        <v>0.84791611277356882</v>
      </c>
      <c r="AX29" s="50">
        <f t="shared" si="29"/>
        <v>7.7816812194935876</v>
      </c>
      <c r="AY29" s="28">
        <f t="shared" si="30"/>
        <v>0.84791611277356882</v>
      </c>
      <c r="AZ29" s="51">
        <f t="shared" si="31"/>
        <v>7.8176651102858825</v>
      </c>
    </row>
    <row r="30" spans="3:52" ht="13.5" thickBot="1">
      <c r="P30" s="125" t="s">
        <v>134</v>
      </c>
      <c r="Q30" s="126"/>
      <c r="R30" s="126"/>
      <c r="S30" s="126"/>
      <c r="T30" s="126"/>
      <c r="U30" s="126"/>
      <c r="V30" s="126"/>
      <c r="W30" s="126"/>
      <c r="X30" s="126"/>
      <c r="Y30" s="126"/>
      <c r="Z30" s="127"/>
      <c r="AB30" s="125" t="s">
        <v>134</v>
      </c>
      <c r="AC30" s="126"/>
      <c r="AD30" s="126"/>
      <c r="AE30" s="126"/>
      <c r="AF30" s="126"/>
      <c r="AG30" s="126"/>
      <c r="AH30" s="126"/>
      <c r="AI30" s="126"/>
      <c r="AJ30" s="126"/>
      <c r="AK30" s="126"/>
      <c r="AL30" s="127"/>
      <c r="AO30" s="169"/>
      <c r="AP30" s="169"/>
      <c r="AQ30" s="169"/>
      <c r="AR30" s="169"/>
      <c r="AS30" s="169"/>
      <c r="AT30" s="169"/>
    </row>
    <row r="31" spans="3:52">
      <c r="T31" s="158"/>
      <c r="AF31" s="158"/>
      <c r="AO31" s="169"/>
      <c r="AP31" s="169"/>
      <c r="AQ31" s="169"/>
      <c r="AR31" s="169"/>
      <c r="AS31" s="169"/>
      <c r="AT31" s="169"/>
    </row>
    <row r="32" spans="3:52" ht="12.75" customHeight="1">
      <c r="T32" s="158"/>
      <c r="AF32" s="158"/>
    </row>
    <row r="33" spans="3:32" ht="12.75" customHeight="1">
      <c r="T33" s="158"/>
      <c r="AF33" s="158"/>
    </row>
    <row r="34" spans="3:32" ht="102" customHeight="1">
      <c r="T34" s="158"/>
      <c r="AF34" s="158"/>
    </row>
    <row r="35" spans="3:32" ht="144.75" customHeight="1">
      <c r="T35" s="158"/>
      <c r="AF35" s="158"/>
    </row>
    <row r="36" spans="3:32">
      <c r="T36" s="158"/>
      <c r="AF36" s="158"/>
    </row>
    <row r="37" spans="3:32">
      <c r="C37" s="171" t="s">
        <v>135</v>
      </c>
      <c r="T37" s="158"/>
      <c r="AF37" s="158"/>
    </row>
    <row r="38" spans="3:32">
      <c r="C38" s="158" t="s">
        <v>136</v>
      </c>
      <c r="T38" s="158"/>
      <c r="AF38" s="158"/>
    </row>
    <row r="39" spans="3:32">
      <c r="C39" s="158" t="s">
        <v>137</v>
      </c>
      <c r="T39" s="158"/>
      <c r="AF39" s="158"/>
    </row>
    <row r="40" spans="3:32">
      <c r="C40" s="158" t="s">
        <v>138</v>
      </c>
      <c r="D40" s="158"/>
      <c r="E40" s="158"/>
      <c r="T40" s="158"/>
      <c r="AF40" s="158"/>
    </row>
    <row r="41" spans="3:32">
      <c r="C41" s="158" t="s">
        <v>139</v>
      </c>
      <c r="T41" s="158"/>
      <c r="AF41" s="158"/>
    </row>
    <row r="42" spans="3:32">
      <c r="C42" s="158" t="s">
        <v>140</v>
      </c>
      <c r="T42" s="158"/>
      <c r="AF42" s="158"/>
    </row>
    <row r="43" spans="3:32">
      <c r="T43" s="158"/>
      <c r="AF43" s="158"/>
    </row>
    <row r="44" spans="3:32">
      <c r="T44" s="158"/>
      <c r="AF44" s="158"/>
    </row>
    <row r="45" spans="3:32">
      <c r="T45" s="158"/>
      <c r="AF45" s="158"/>
    </row>
  </sheetData>
  <sheetProtection password="CF59" sheet="1" objects="1" scenarios="1"/>
  <conditionalFormatting sqref="T6:Z13 AF6:AL13">
    <cfRule type="cellIs" dxfId="2" priority="1" stopIfTrue="1" operator="greaterThan">
      <formula>$H$6+0.5</formula>
    </cfRule>
  </conditionalFormatting>
  <conditionalFormatting sqref="T14:Z21 AF14:AL21">
    <cfRule type="cellIs" dxfId="1" priority="2" stopIfTrue="1" operator="greaterThan">
      <formula>$I$6+0.5</formula>
    </cfRule>
  </conditionalFormatting>
  <conditionalFormatting sqref="T22:Z29 AF22:AL29">
    <cfRule type="cellIs" dxfId="0" priority="3" stopIfTrue="1" operator="greaterThan">
      <formula>$J$6+0.5</formula>
    </cfRule>
  </conditionalFormatting>
  <pageMargins left="0.75" right="0.75" top="1" bottom="1" header="0.5" footer="0.5"/>
  <pageSetup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Y36"/>
  <sheetViews>
    <sheetView workbookViewId="0">
      <pane xSplit="6" topLeftCell="G1" activePane="topRight" state="frozenSplit"/>
      <selection activeCell="C3" sqref="C3"/>
      <selection pane="topRight" activeCell="C3" sqref="C3"/>
    </sheetView>
  </sheetViews>
  <sheetFormatPr defaultRowHeight="13.5" customHeight="1"/>
  <cols>
    <col min="1" max="1" width="2.140625" style="1" customWidth="1"/>
    <col min="2" max="2" width="7.28515625" style="1" bestFit="1" customWidth="1"/>
    <col min="3" max="3" width="6.140625" style="1" bestFit="1" customWidth="1"/>
    <col min="4" max="4" width="5" style="1" bestFit="1" customWidth="1"/>
    <col min="5" max="6" width="2.140625" style="1" customWidth="1"/>
    <col min="7" max="9" width="37.28515625" style="1" customWidth="1"/>
    <col min="10" max="10" width="2.7109375" style="1" customWidth="1"/>
    <col min="11" max="11" width="15" style="1" hidden="1" customWidth="1"/>
    <col min="12" max="12" width="7.85546875" style="1" hidden="1" customWidth="1"/>
    <col min="13" max="13" width="6" style="11" hidden="1" customWidth="1"/>
    <col min="14" max="14" width="7" style="1" hidden="1" customWidth="1"/>
    <col min="15" max="15" width="0.140625" style="1" hidden="1" customWidth="1"/>
    <col min="16" max="16" width="9.28515625" style="11" hidden="1" customWidth="1"/>
    <col min="17" max="17" width="6.140625" style="1" hidden="1" customWidth="1"/>
    <col min="18" max="18" width="0.140625" style="1" hidden="1" customWidth="1"/>
    <col min="19" max="19" width="6.28515625" style="1" hidden="1" customWidth="1"/>
    <col min="20" max="20" width="4.140625" style="5" hidden="1" customWidth="1"/>
    <col min="21" max="22" width="5.140625" style="5" hidden="1" customWidth="1"/>
    <col min="23" max="23" width="4.140625" style="5" hidden="1" customWidth="1"/>
    <col min="24" max="25" width="4.28515625" style="5" hidden="1" customWidth="1"/>
    <col min="26" max="26" width="4.140625" style="5" hidden="1" customWidth="1"/>
    <col min="27" max="27" width="6.140625" style="5" hidden="1" customWidth="1"/>
    <col min="28" max="28" width="7" style="5" hidden="1" customWidth="1"/>
    <col min="29" max="29" width="4.28515625" style="5" hidden="1" customWidth="1"/>
    <col min="30" max="30" width="4.42578125" style="5" hidden="1" customWidth="1"/>
    <col min="31" max="32" width="4" style="5" hidden="1" customWidth="1"/>
    <col min="33" max="33" width="4.5703125" style="5" hidden="1" customWidth="1"/>
    <col min="34" max="34" width="3" style="5" hidden="1" customWidth="1"/>
    <col min="35" max="35" width="2.140625" style="5" bestFit="1" customWidth="1"/>
    <col min="36" max="36" width="6.28515625" style="1" customWidth="1"/>
    <col min="37" max="41" width="6.28515625" style="5" customWidth="1"/>
    <col min="42" max="42" width="2.7109375" style="1" customWidth="1"/>
    <col min="43" max="43" width="5.7109375" style="1" bestFit="1" customWidth="1"/>
    <col min="44" max="44" width="5.140625" style="1" customWidth="1"/>
    <col min="45" max="45" width="5.5703125" style="1" bestFit="1" customWidth="1"/>
    <col min="46" max="51" width="5.140625" style="1" customWidth="1"/>
    <col min="52" max="16384" width="9.140625" style="1"/>
  </cols>
  <sheetData>
    <row r="1" spans="1:51" s="8" customFormat="1" ht="13.5" customHeight="1">
      <c r="A1" s="1"/>
      <c r="C1" s="183" t="s">
        <v>169</v>
      </c>
      <c r="D1" s="1"/>
      <c r="E1" s="1"/>
      <c r="F1" s="1"/>
      <c r="G1" s="1"/>
      <c r="H1" s="1"/>
      <c r="I1" s="1"/>
      <c r="M1" s="10"/>
      <c r="P1" s="10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"/>
      <c r="AK1" s="5"/>
      <c r="AL1" s="5"/>
      <c r="AO1" s="5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s="10" customFormat="1" ht="13.5" customHeight="1" thickBot="1">
      <c r="A2" s="8"/>
      <c r="B2" s="10" t="s">
        <v>212</v>
      </c>
      <c r="C2" s="8"/>
      <c r="D2" s="8"/>
      <c r="E2" s="8"/>
      <c r="F2" s="8"/>
      <c r="G2" s="10" t="s">
        <v>170</v>
      </c>
      <c r="I2" s="11" t="s">
        <v>202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0" t="s">
        <v>203</v>
      </c>
      <c r="AP2" s="11"/>
      <c r="AQ2" s="10" t="s">
        <v>81</v>
      </c>
      <c r="AR2" s="11"/>
      <c r="AS2" s="11"/>
      <c r="AT2" s="11"/>
      <c r="AU2" s="11"/>
      <c r="AV2" s="11"/>
      <c r="AW2" s="11"/>
      <c r="AX2" s="11"/>
      <c r="AY2" s="11"/>
    </row>
    <row r="3" spans="1:51" ht="13.5" customHeight="1" thickBot="1">
      <c r="A3" s="10"/>
      <c r="B3" s="55" t="s">
        <v>24</v>
      </c>
      <c r="C3" s="84">
        <v>10</v>
      </c>
      <c r="D3" s="85" t="s">
        <v>60</v>
      </c>
      <c r="E3" s="66"/>
      <c r="F3" s="10"/>
      <c r="G3" s="7"/>
      <c r="H3" s="7"/>
      <c r="I3" s="7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I3" s="16"/>
      <c r="AJ3" s="80" t="s">
        <v>40</v>
      </c>
      <c r="AK3" s="17" t="s">
        <v>78</v>
      </c>
      <c r="AL3" s="17" t="s">
        <v>42</v>
      </c>
      <c r="AM3" s="17" t="s">
        <v>69</v>
      </c>
      <c r="AN3" s="17" t="s">
        <v>71</v>
      </c>
      <c r="AO3" s="18" t="s">
        <v>70</v>
      </c>
      <c r="AQ3" s="19"/>
      <c r="AR3" s="20" t="s">
        <v>17</v>
      </c>
      <c r="AS3" s="21" t="s">
        <v>18</v>
      </c>
      <c r="AT3" s="22" t="s">
        <v>19</v>
      </c>
      <c r="AU3" s="22" t="s">
        <v>20</v>
      </c>
      <c r="AV3" s="20" t="s">
        <v>21</v>
      </c>
      <c r="AW3" s="21" t="s">
        <v>22</v>
      </c>
      <c r="AX3" s="23" t="s">
        <v>38</v>
      </c>
      <c r="AY3" s="24" t="s">
        <v>39</v>
      </c>
    </row>
    <row r="4" spans="1:51" ht="13.5" customHeight="1" thickBot="1">
      <c r="B4" s="56" t="s">
        <v>25</v>
      </c>
      <c r="C4" s="57">
        <f>N4/10-10</f>
        <v>0</v>
      </c>
      <c r="D4" s="57" t="s">
        <v>60</v>
      </c>
      <c r="E4" s="58"/>
      <c r="F4" s="7"/>
      <c r="G4" s="7"/>
      <c r="H4" s="7"/>
      <c r="I4" s="7"/>
      <c r="K4" s="10" t="s">
        <v>198</v>
      </c>
      <c r="M4" s="11" t="s">
        <v>54</v>
      </c>
      <c r="N4" s="2">
        <v>100</v>
      </c>
      <c r="P4" s="11" t="s">
        <v>45</v>
      </c>
      <c r="Q4" s="1">
        <v>0</v>
      </c>
      <c r="S4" s="11" t="s">
        <v>40</v>
      </c>
      <c r="T4" s="83" t="s">
        <v>41</v>
      </c>
      <c r="U4" s="83" t="s">
        <v>10</v>
      </c>
      <c r="V4" s="83" t="s">
        <v>11</v>
      </c>
      <c r="W4" s="83" t="s">
        <v>30</v>
      </c>
      <c r="X4" s="83" t="s">
        <v>44</v>
      </c>
      <c r="Y4" s="83" t="s">
        <v>43</v>
      </c>
      <c r="Z4" s="83" t="s">
        <v>42</v>
      </c>
      <c r="AA4" s="83" t="s">
        <v>78</v>
      </c>
      <c r="AB4" s="83" t="s">
        <v>79</v>
      </c>
      <c r="AC4" s="83" t="s">
        <v>67</v>
      </c>
      <c r="AD4" s="83" t="s">
        <v>66</v>
      </c>
      <c r="AE4" s="83" t="s">
        <v>69</v>
      </c>
      <c r="AF4" s="83" t="s">
        <v>71</v>
      </c>
      <c r="AG4" s="83" t="s">
        <v>70</v>
      </c>
      <c r="AH4" s="4"/>
      <c r="AI4" s="156"/>
      <c r="AJ4" s="157"/>
      <c r="AK4" s="28" t="s">
        <v>60</v>
      </c>
      <c r="AL4" s="28" t="s">
        <v>61</v>
      </c>
      <c r="AM4" s="28" t="s">
        <v>63</v>
      </c>
      <c r="AN4" s="28" t="s">
        <v>64</v>
      </c>
      <c r="AO4" s="29" t="s">
        <v>63</v>
      </c>
      <c r="AQ4" s="30" t="s">
        <v>33</v>
      </c>
      <c r="AR4" s="31">
        <f>$Q$6</f>
        <v>10</v>
      </c>
      <c r="AS4" s="32">
        <f>$Q$7</f>
        <v>0</v>
      </c>
      <c r="AT4" s="33">
        <f>$Q$6</f>
        <v>10</v>
      </c>
      <c r="AU4" s="33">
        <f>$Q$7</f>
        <v>0</v>
      </c>
      <c r="AV4" s="31">
        <f>$Q$6</f>
        <v>10</v>
      </c>
      <c r="AW4" s="32">
        <f>$Q$7</f>
        <v>0</v>
      </c>
      <c r="AX4" s="33">
        <f>$Q$6</f>
        <v>10</v>
      </c>
      <c r="AY4" s="32">
        <f>$Q$7</f>
        <v>0</v>
      </c>
    </row>
    <row r="5" spans="1:51" ht="13.5" customHeight="1">
      <c r="B5" s="56" t="s">
        <v>26</v>
      </c>
      <c r="C5" s="57">
        <f>N5/10-10</f>
        <v>0.5</v>
      </c>
      <c r="D5" s="57" t="s">
        <v>60</v>
      </c>
      <c r="E5" s="58"/>
      <c r="F5" s="7"/>
      <c r="G5" s="7"/>
      <c r="H5" s="7"/>
      <c r="I5" s="7"/>
      <c r="K5" s="147">
        <v>1</v>
      </c>
      <c r="M5" s="11" t="s">
        <v>55</v>
      </c>
      <c r="N5" s="2">
        <v>105</v>
      </c>
      <c r="P5" s="11" t="s">
        <v>46</v>
      </c>
      <c r="Q5" s="1">
        <v>0</v>
      </c>
      <c r="S5" s="3">
        <f>$C$20/100</f>
        <v>-0.3</v>
      </c>
      <c r="T5" s="5">
        <f t="shared" ref="T5:T26" si="0">$Q$21+IF($S5&gt;0,$Q$22-$Q$21,$Q$21-$Q$23)*$S5</f>
        <v>-1.2813802266833834</v>
      </c>
      <c r="U5" s="5">
        <f t="shared" ref="U5:U26" si="1">$Q$6+$Q$20*COS($T5)-$Q$4</f>
        <v>10.594218147244941</v>
      </c>
      <c r="V5" s="5">
        <f t="shared" ref="V5:V26" si="2">$Q$7+$Q$20*SIN($T5)-$Q$5</f>
        <v>-1.9955139089412828</v>
      </c>
      <c r="W5" s="5">
        <f t="shared" ref="W5:W26" si="3">(U5^2+V5^2+$Q$16^2-$Q$24^2)/(2*$Q$16)</f>
        <v>2.3187837926111539</v>
      </c>
      <c r="X5" s="5">
        <f t="shared" ref="X5:X26" si="4">IF($W5+$U5=0,PI(),2*ATAN(($V5+SQRT($V5^2-$W5^2+$U5^2))/($W5+$U5)))</f>
        <v>1.167834675687796</v>
      </c>
      <c r="Y5" s="5">
        <f t="shared" ref="Y5:Y26" si="5">IF($W5+$U5=0,PI(),2*ATAN(($V5-SQRT($V5^2-$W5^2+$U5^2))/($W5+$U5)))</f>
        <v>-1.5401895274533628</v>
      </c>
      <c r="Z5" s="5">
        <f t="shared" ref="Z5:Z26" si="6">IF(AND(ROUND(SIN($X$6),3)=ROUND(SIN($Q$18),3),ROUND(COS($X$6),3)=ROUND(COS($Q$18),3)),X5,Y5)</f>
        <v>-1.5401895274533628</v>
      </c>
      <c r="AA5" s="5">
        <f t="shared" ref="AA5:AA26" si="7">$N$23*SIN($Z5-$Q$17+$N$17)</f>
        <v>-3.0896923764610618</v>
      </c>
      <c r="AB5" s="5">
        <f t="shared" ref="AB5:AB26" si="8">ASIN(SIN($N$20*($Z5-$Q$17+$N$17-$N$18)))</f>
        <v>-0.17250385394569825</v>
      </c>
      <c r="AC5" s="5">
        <f t="shared" ref="AC5:AC26" si="9">ACOS(($Q$24^2+$Q$20^2-($Q$4+$Q$16*COS($Z5)-$Q$6)^2-($Q$5+$Q$16*SIN($Z5)-$Q$7)^2)/(2*$Q$20*$Q$24))</f>
        <v>1.4270472555318645</v>
      </c>
      <c r="AD5" s="5">
        <f t="shared" ref="AD5:AD26" si="10">ACOS(($Q$24^2+$Q$16^2-($Q$6+$Q$20*COS($T5)-$Q$4)^2-($Q$7+$Q$20*SIN($T5)-$Q$5)^2)/(2*$Q$16*$Q$24))</f>
        <v>1.4557360972879485</v>
      </c>
      <c r="AE5" s="4">
        <f t="shared" ref="AE5:AE26" si="11">0.0000085*$C$16^2*$C$17^2*$C$18*ABS(SIN(AB5))</f>
        <v>81.071983112150022</v>
      </c>
      <c r="AF5" s="4">
        <f t="shared" ref="AF5:AF26" si="12">AE5/($Q$16*SIN(AD5))</f>
        <v>23.083249020723294</v>
      </c>
      <c r="AG5" s="4">
        <f t="shared" ref="AG5:AG26" si="13">AF5*$Q$20*SIN(AC5)</f>
        <v>47.566087043020985</v>
      </c>
      <c r="AH5" s="4"/>
      <c r="AI5" s="151" t="str">
        <f t="shared" ref="AI5:AI26" si="14">IF($K$5&gt;0,IF(S5&lt;0,"-",IF(S5&gt;0,"+","")),"")</f>
        <v>-</v>
      </c>
      <c r="AJ5" s="152">
        <f t="shared" ref="AJ5:AJ26" si="15">IF($K$5&gt;0,ABS(S5),S5)</f>
        <v>0.3</v>
      </c>
      <c r="AK5" s="153">
        <f t="shared" ref="AK5:AK26" si="16">IF($K$5&gt;0,ABS(AA5),AA5)</f>
        <v>3.0896923764610618</v>
      </c>
      <c r="AL5" s="153">
        <f t="shared" ref="AL5:AL26" si="17">IF($K$5&gt;0,ABS(DEGREES(ASIN(SIN($N$20*($Z5-$Q$17+$N$17))))),DEGREES(ASIN(SIN($N$20*($Z5-$Q$17+$N$17)))))</f>
        <v>9.8837427808296834</v>
      </c>
      <c r="AM5" s="154">
        <f t="shared" ref="AM5:AM26" si="18">AE5</f>
        <v>81.071983112150022</v>
      </c>
      <c r="AN5" s="153">
        <f t="shared" ref="AN5:AN26" si="19">AF5/16</f>
        <v>1.4427030637952059</v>
      </c>
      <c r="AO5" s="155">
        <f t="shared" ref="AO5:AO26" si="20">AG5</f>
        <v>47.566087043020985</v>
      </c>
      <c r="AQ5" s="30" t="s">
        <v>34</v>
      </c>
      <c r="AR5" s="31">
        <f>$AR$4+$Q$20*COS($Q$21)</f>
        <v>10.002991515685833</v>
      </c>
      <c r="AS5" s="32">
        <f>$AS$4+$Q$20*SIN($Q$21)</f>
        <v>-2.0821051890159703</v>
      </c>
      <c r="AT5" s="33">
        <f>$AR$4+$Q$20*COS($Q$22)</f>
        <v>8.2961551408992182</v>
      </c>
      <c r="AU5" s="33">
        <f>$AS$4+$Q$20*SIN($Q$22)</f>
        <v>-1.1966969806133747</v>
      </c>
      <c r="AV5" s="31">
        <f>$AR$4+$Q$20*COS($Q$23)</f>
        <v>11.707276584913519</v>
      </c>
      <c r="AW5" s="32">
        <f>$AS$4+$Q$20*SIN($Q$23)</f>
        <v>-1.1917959682342292</v>
      </c>
      <c r="AX5" s="33">
        <f>$Q$6+$Q$20*COS($T$5)</f>
        <v>10.594218147244941</v>
      </c>
      <c r="AY5" s="32">
        <f>$Q$7+$Q$20*SIN($T$5)</f>
        <v>-1.9955139089412828</v>
      </c>
    </row>
    <row r="6" spans="1:51" ht="13.5" customHeight="1" thickBot="1">
      <c r="B6" s="59" t="s">
        <v>27</v>
      </c>
      <c r="C6" s="87">
        <f>N6/10-10</f>
        <v>-3.5</v>
      </c>
      <c r="D6" s="87" t="s">
        <v>60</v>
      </c>
      <c r="E6" s="88"/>
      <c r="F6" s="7"/>
      <c r="G6" s="7"/>
      <c r="H6" s="7"/>
      <c r="I6" s="7"/>
      <c r="M6" s="11" t="s">
        <v>56</v>
      </c>
      <c r="N6" s="2">
        <v>65</v>
      </c>
      <c r="P6" s="11" t="s">
        <v>48</v>
      </c>
      <c r="Q6" s="1">
        <f>Q4-$N$11</f>
        <v>10</v>
      </c>
      <c r="S6" s="3">
        <v>1</v>
      </c>
      <c r="T6" s="5">
        <f t="shared" si="0"/>
        <v>-2.5292906418593288</v>
      </c>
      <c r="U6" s="5">
        <f t="shared" si="1"/>
        <v>8.2961551408992182</v>
      </c>
      <c r="V6" s="5">
        <f t="shared" si="2"/>
        <v>-1.1966969806133747</v>
      </c>
      <c r="W6" s="5">
        <f t="shared" si="3"/>
        <v>-4.1811199489128654</v>
      </c>
      <c r="X6" s="5">
        <f t="shared" si="4"/>
        <v>1.9497741075469599</v>
      </c>
      <c r="Y6" s="5">
        <f t="shared" si="5"/>
        <v>-2.2362921569973606</v>
      </c>
      <c r="Z6" s="5">
        <f t="shared" si="6"/>
        <v>-2.2362921569973606</v>
      </c>
      <c r="AA6" s="5">
        <f t="shared" si="7"/>
        <v>9.0000000000000142</v>
      </c>
      <c r="AB6" s="5">
        <f t="shared" si="8"/>
        <v>0.52359877559829981</v>
      </c>
      <c r="AC6" s="5">
        <f t="shared" si="9"/>
        <v>2.6793485425346937</v>
      </c>
      <c r="AD6" s="5">
        <f t="shared" si="10"/>
        <v>0.7552425959170681</v>
      </c>
      <c r="AE6" s="4">
        <f t="shared" si="11"/>
        <v>236.15550000000036</v>
      </c>
      <c r="AF6" s="4">
        <f t="shared" si="12"/>
        <v>97.444553106217995</v>
      </c>
      <c r="AG6" s="4">
        <f t="shared" si="13"/>
        <v>90.480392378216024</v>
      </c>
      <c r="AH6" s="4"/>
      <c r="AI6" s="34" t="str">
        <f t="shared" si="14"/>
        <v>+</v>
      </c>
      <c r="AJ6" s="81">
        <f t="shared" si="15"/>
        <v>1</v>
      </c>
      <c r="AK6" s="35">
        <f t="shared" si="16"/>
        <v>9.0000000000000142</v>
      </c>
      <c r="AL6" s="35">
        <f t="shared" si="17"/>
        <v>30.000000000000053</v>
      </c>
      <c r="AM6" s="36">
        <f t="shared" si="18"/>
        <v>236.15550000000036</v>
      </c>
      <c r="AN6" s="35">
        <f t="shared" si="19"/>
        <v>6.0902845691386247</v>
      </c>
      <c r="AO6" s="37">
        <f t="shared" si="20"/>
        <v>90.480392378216024</v>
      </c>
      <c r="AQ6" s="30" t="s">
        <v>32</v>
      </c>
      <c r="AR6" s="31">
        <f>$Q$4+$Q$16*COS($Q$17)</f>
        <v>-0.500000000000001</v>
      </c>
      <c r="AS6" s="32">
        <f>$Q$5+$Q$16*SIN($Q$17)</f>
        <v>-3.5</v>
      </c>
      <c r="AT6" s="33">
        <f>$Q$4+$Q$16*COS($Q$18)</f>
        <v>-2.183012701892221</v>
      </c>
      <c r="AU6" s="33">
        <f>$Q$5+$Q$16*SIN($Q$18)</f>
        <v>-2.7810889132455343</v>
      </c>
      <c r="AV6" s="31">
        <f>$Q$4+$Q$16*COS($Q$19)</f>
        <v>1.3169872981077808</v>
      </c>
      <c r="AW6" s="32">
        <f>$Q$5+$Q$16*SIN($Q$19)</f>
        <v>-3.2810889132455352</v>
      </c>
      <c r="AX6" s="33">
        <f>Q$4+$Q$16*COS($Z$5)</f>
        <v>0.10819448264228013</v>
      </c>
      <c r="AY6" s="32">
        <f>$Q$5+$Q$16*SIN(Z$5)</f>
        <v>-3.5338780332555011</v>
      </c>
    </row>
    <row r="7" spans="1:51" ht="13.5" customHeight="1" thickBot="1">
      <c r="F7" s="7"/>
      <c r="G7" s="7"/>
      <c r="H7" s="7"/>
      <c r="I7" s="7"/>
      <c r="K7" s="11"/>
      <c r="M7" s="11" t="s">
        <v>57</v>
      </c>
      <c r="N7" s="2">
        <v>90</v>
      </c>
      <c r="P7" s="11" t="s">
        <v>47</v>
      </c>
      <c r="Q7" s="1">
        <f>Q5+C4</f>
        <v>0</v>
      </c>
      <c r="S7" s="3">
        <v>0.9</v>
      </c>
      <c r="T7" s="5">
        <f t="shared" si="0"/>
        <v>-2.4332975329996409</v>
      </c>
      <c r="U7" s="5">
        <f t="shared" si="1"/>
        <v>8.4186976272891894</v>
      </c>
      <c r="V7" s="5">
        <f t="shared" si="2"/>
        <v>-1.3544939177982636</v>
      </c>
      <c r="W7" s="5">
        <f t="shared" si="3"/>
        <v>-3.8345174564736308</v>
      </c>
      <c r="X7" s="5">
        <f t="shared" si="4"/>
        <v>1.8776940363667276</v>
      </c>
      <c r="Y7" s="5">
        <f t="shared" si="5"/>
        <v>-2.1967421249694774</v>
      </c>
      <c r="Z7" s="5">
        <f t="shared" si="6"/>
        <v>-2.1967421249694774</v>
      </c>
      <c r="AA7" s="5">
        <f t="shared" si="7"/>
        <v>8.3765987263586972</v>
      </c>
      <c r="AB7" s="5">
        <f t="shared" si="8"/>
        <v>0.48404874357041694</v>
      </c>
      <c r="AC7" s="5">
        <f t="shared" si="9"/>
        <v>2.5763303010805743</v>
      </c>
      <c r="AD7" s="5">
        <f t="shared" si="10"/>
        <v>0.8018177605393817</v>
      </c>
      <c r="AE7" s="4">
        <f t="shared" si="11"/>
        <v>219.79776228028896</v>
      </c>
      <c r="AF7" s="4">
        <f t="shared" si="12"/>
        <v>86.510364870784002</v>
      </c>
      <c r="AG7" s="4">
        <f t="shared" si="13"/>
        <v>96.481074954815909</v>
      </c>
      <c r="AH7" s="4"/>
      <c r="AI7" s="34" t="str">
        <f t="shared" si="14"/>
        <v>+</v>
      </c>
      <c r="AJ7" s="81">
        <f t="shared" si="15"/>
        <v>0.9</v>
      </c>
      <c r="AK7" s="35">
        <f t="shared" si="16"/>
        <v>8.3765987263586972</v>
      </c>
      <c r="AL7" s="35">
        <f t="shared" si="17"/>
        <v>27.733950085195133</v>
      </c>
      <c r="AM7" s="36">
        <f t="shared" si="18"/>
        <v>219.79776228028896</v>
      </c>
      <c r="AN7" s="35">
        <f t="shared" si="19"/>
        <v>5.4068978044240001</v>
      </c>
      <c r="AO7" s="37">
        <f t="shared" si="20"/>
        <v>96.481074954815909</v>
      </c>
      <c r="AQ7" s="30" t="s">
        <v>37</v>
      </c>
      <c r="AR7" s="31">
        <f>$Q$4+$N$12*COS($N$17)</f>
        <v>-0.5</v>
      </c>
      <c r="AS7" s="32">
        <f>$Q$5+$N$12*SIN($N$17)</f>
        <v>0</v>
      </c>
      <c r="AT7" s="33">
        <f>$Q$4+$N$12*COS($N$17+$N$13)</f>
        <v>-0.43301270189221935</v>
      </c>
      <c r="AU7" s="33">
        <f>$Q$5+$N$12*SIN($N$17+$N$13)</f>
        <v>0.24999999999999997</v>
      </c>
      <c r="AV7" s="31">
        <f>$Q$4+$N$12*COS($N$17+$N$14)</f>
        <v>-0.43301270189221935</v>
      </c>
      <c r="AW7" s="32">
        <f>$Q$5+$N$12*SIN($N$17+$N$14)</f>
        <v>-0.24999999999999997</v>
      </c>
      <c r="AX7" s="33">
        <f>$Q$4+$N$12*COS($N$17+$Z$5-$Q$17)</f>
        <v>-0.49257903500292455</v>
      </c>
      <c r="AY7" s="32">
        <f>$Q$5+$N$12*SIN($N$17+$Z$5-$Q$17)</f>
        <v>-8.5824788235029495E-2</v>
      </c>
    </row>
    <row r="8" spans="1:51" ht="13.5" customHeight="1">
      <c r="B8" s="55" t="s">
        <v>2</v>
      </c>
      <c r="C8" s="84">
        <v>55</v>
      </c>
      <c r="D8" s="85" t="s">
        <v>61</v>
      </c>
      <c r="E8" s="66"/>
      <c r="F8" s="7"/>
      <c r="G8" s="7"/>
      <c r="H8" s="7"/>
      <c r="I8" s="7"/>
      <c r="M8" s="11" t="s">
        <v>58</v>
      </c>
      <c r="N8" s="2">
        <v>20</v>
      </c>
      <c r="S8" s="3">
        <v>0.8</v>
      </c>
      <c r="T8" s="5">
        <f t="shared" si="0"/>
        <v>-2.3373044241399525</v>
      </c>
      <c r="U8" s="5">
        <f t="shared" si="1"/>
        <v>8.5558001185701009</v>
      </c>
      <c r="V8" s="5">
        <f t="shared" si="2"/>
        <v>-1.4998192123623413</v>
      </c>
      <c r="W8" s="5">
        <f t="shared" si="3"/>
        <v>-3.4467330512644234</v>
      </c>
      <c r="X8" s="5">
        <f t="shared" si="4"/>
        <v>1.8052919939924112</v>
      </c>
      <c r="Y8" s="5">
        <f t="shared" si="5"/>
        <v>-2.1523626223782721</v>
      </c>
      <c r="Z8" s="5">
        <f t="shared" si="6"/>
        <v>-2.1523626223782721</v>
      </c>
      <c r="AA8" s="5">
        <f t="shared" si="7"/>
        <v>7.6615233659650546</v>
      </c>
      <c r="AB8" s="5">
        <f t="shared" si="8"/>
        <v>0.43966924097921178</v>
      </c>
      <c r="AC8" s="5">
        <f t="shared" si="9"/>
        <v>2.4749768665377005</v>
      </c>
      <c r="AD8" s="5">
        <f t="shared" si="10"/>
        <v>0.85155758881377219</v>
      </c>
      <c r="AE8" s="4">
        <f t="shared" si="11"/>
        <v>201.03454236124006</v>
      </c>
      <c r="AF8" s="4">
        <f t="shared" si="12"/>
        <v>75.582334477559385</v>
      </c>
      <c r="AG8" s="4">
        <f t="shared" si="13"/>
        <v>97.306892964139706</v>
      </c>
      <c r="AH8" s="4"/>
      <c r="AI8" s="34" t="str">
        <f t="shared" si="14"/>
        <v>+</v>
      </c>
      <c r="AJ8" s="81">
        <f t="shared" si="15"/>
        <v>0.8</v>
      </c>
      <c r="AK8" s="35">
        <f t="shared" si="16"/>
        <v>7.6615233659650546</v>
      </c>
      <c r="AL8" s="35">
        <f t="shared" si="17"/>
        <v>25.191191889829177</v>
      </c>
      <c r="AM8" s="36">
        <f t="shared" si="18"/>
        <v>201.03454236124006</v>
      </c>
      <c r="AN8" s="35">
        <f t="shared" si="19"/>
        <v>4.7238959048474616</v>
      </c>
      <c r="AO8" s="37">
        <f t="shared" si="20"/>
        <v>97.306892964139706</v>
      </c>
      <c r="AQ8" s="30" t="s">
        <v>36</v>
      </c>
      <c r="AR8" s="31">
        <f>$Q$4-1*$N$23</f>
        <v>18</v>
      </c>
      <c r="AS8" s="32">
        <f>$Q$5</f>
        <v>0</v>
      </c>
      <c r="AT8" s="33">
        <f>$Q$4-1*$N$23</f>
        <v>18</v>
      </c>
      <c r="AU8" s="33">
        <f>$Q$5</f>
        <v>0</v>
      </c>
      <c r="AV8" s="31">
        <f>$Q$4-1*$N$23</f>
        <v>18</v>
      </c>
      <c r="AW8" s="32">
        <f>$Q$5</f>
        <v>0</v>
      </c>
      <c r="AX8" s="33">
        <f>$Q$4-1*$N$23</f>
        <v>18</v>
      </c>
      <c r="AY8" s="32">
        <f>$Q$5</f>
        <v>0</v>
      </c>
    </row>
    <row r="9" spans="1:51" ht="13.5" customHeight="1">
      <c r="B9" s="56" t="s">
        <v>3</v>
      </c>
      <c r="C9" s="60">
        <v>55</v>
      </c>
      <c r="D9" s="57" t="s">
        <v>61</v>
      </c>
      <c r="E9" s="58"/>
      <c r="F9" s="7"/>
      <c r="G9" s="7"/>
      <c r="H9" s="7"/>
      <c r="I9" s="7"/>
      <c r="M9" s="11" t="s">
        <v>59</v>
      </c>
      <c r="N9" s="2">
        <v>70</v>
      </c>
      <c r="P9" s="11" t="s">
        <v>8</v>
      </c>
      <c r="Q9" s="5">
        <f>(AR$4-AR$6)^2-(AR$4-AT$6)^2+(AS$4-AS$6)^2-(AS$4-AU$6)^2</f>
        <v>-33.660254037844375</v>
      </c>
      <c r="S9" s="3">
        <v>0.7</v>
      </c>
      <c r="T9" s="5">
        <f t="shared" si="0"/>
        <v>-2.2413113152802646</v>
      </c>
      <c r="U9" s="5">
        <f t="shared" si="1"/>
        <v>8.7062002293955061</v>
      </c>
      <c r="V9" s="5">
        <f t="shared" si="2"/>
        <v>-1.6313347666487976</v>
      </c>
      <c r="W9" s="5">
        <f t="shared" si="3"/>
        <v>-3.0213372982410123</v>
      </c>
      <c r="X9" s="5">
        <f t="shared" si="4"/>
        <v>1.7336511404099737</v>
      </c>
      <c r="Y9" s="5">
        <f t="shared" si="5"/>
        <v>-2.1041078554637886</v>
      </c>
      <c r="Z9" s="5">
        <f t="shared" si="6"/>
        <v>-2.1041078554637886</v>
      </c>
      <c r="AA9" s="5">
        <f t="shared" si="7"/>
        <v>6.8669332962459446</v>
      </c>
      <c r="AB9" s="5">
        <f t="shared" si="8"/>
        <v>0.39141447406472785</v>
      </c>
      <c r="AC9" s="5">
        <f t="shared" si="9"/>
        <v>2.3750534869010029</v>
      </c>
      <c r="AD9" s="5">
        <f t="shared" si="10"/>
        <v>0.90374262650526549</v>
      </c>
      <c r="AE9" s="4">
        <f t="shared" si="11"/>
        <v>180.1848962268455</v>
      </c>
      <c r="AF9" s="4">
        <f t="shared" si="12"/>
        <v>64.868736505245494</v>
      </c>
      <c r="AG9" s="4">
        <f t="shared" si="13"/>
        <v>93.686444303409402</v>
      </c>
      <c r="AH9" s="4"/>
      <c r="AI9" s="34" t="str">
        <f t="shared" si="14"/>
        <v>+</v>
      </c>
      <c r="AJ9" s="81">
        <f t="shared" si="15"/>
        <v>0.7</v>
      </c>
      <c r="AK9" s="35">
        <f t="shared" si="16"/>
        <v>6.8669332962459446</v>
      </c>
      <c r="AL9" s="35">
        <f t="shared" si="17"/>
        <v>22.426397404241726</v>
      </c>
      <c r="AM9" s="36">
        <f t="shared" si="18"/>
        <v>180.1848962268455</v>
      </c>
      <c r="AN9" s="35">
        <f t="shared" si="19"/>
        <v>4.0542960315778434</v>
      </c>
      <c r="AO9" s="37">
        <f t="shared" si="20"/>
        <v>93.686444303409402</v>
      </c>
      <c r="AQ9" s="30" t="s">
        <v>31</v>
      </c>
      <c r="AR9" s="31">
        <f>$Q$4</f>
        <v>0</v>
      </c>
      <c r="AS9" s="32">
        <f>$Q$5</f>
        <v>0</v>
      </c>
      <c r="AT9" s="33">
        <f>$Q$4</f>
        <v>0</v>
      </c>
      <c r="AU9" s="33">
        <f>$Q$5</f>
        <v>0</v>
      </c>
      <c r="AV9" s="31">
        <f>$Q$4</f>
        <v>0</v>
      </c>
      <c r="AW9" s="32">
        <f>$Q$5</f>
        <v>0</v>
      </c>
      <c r="AX9" s="33">
        <f>$Q$4</f>
        <v>0</v>
      </c>
      <c r="AY9" s="32">
        <f>$Q$5</f>
        <v>0</v>
      </c>
    </row>
    <row r="10" spans="1:51" ht="13.5" customHeight="1" thickBot="1">
      <c r="B10" s="56" t="s">
        <v>0</v>
      </c>
      <c r="C10" s="60">
        <v>30</v>
      </c>
      <c r="D10" s="57" t="s">
        <v>61</v>
      </c>
      <c r="E10" s="58"/>
      <c r="F10" s="7"/>
      <c r="G10" s="7"/>
      <c r="H10" s="7"/>
      <c r="I10" s="7"/>
      <c r="K10" s="11" t="s">
        <v>201</v>
      </c>
      <c r="P10" s="11" t="s">
        <v>9</v>
      </c>
      <c r="Q10" s="5">
        <f>(AR$4-AR$6)^2-(AR$4-AV$6)^2+(AS$4-AS$6)^2-(AS$4-AW$6)^2</f>
        <v>36.339745962155675</v>
      </c>
      <c r="S10" s="3">
        <v>0.6</v>
      </c>
      <c r="T10" s="5">
        <f t="shared" si="0"/>
        <v>-2.1453182064205762</v>
      </c>
      <c r="U10" s="5">
        <f t="shared" si="1"/>
        <v>8.8685131352138171</v>
      </c>
      <c r="V10" s="5">
        <f t="shared" si="2"/>
        <v>-1.7478296376105029</v>
      </c>
      <c r="W10" s="5">
        <f t="shared" si="3"/>
        <v>-2.5622470727281299</v>
      </c>
      <c r="X10" s="5">
        <f t="shared" si="4"/>
        <v>1.6636102598938312</v>
      </c>
      <c r="Y10" s="5">
        <f t="shared" si="5"/>
        <v>-2.0527878626526785</v>
      </c>
      <c r="Z10" s="5">
        <f t="shared" si="6"/>
        <v>-2.0527878626526785</v>
      </c>
      <c r="AA10" s="5">
        <f t="shared" si="7"/>
        <v>6.0043709393075542</v>
      </c>
      <c r="AB10" s="5">
        <f t="shared" si="8"/>
        <v>0.34009448125361769</v>
      </c>
      <c r="AC10" s="5">
        <f t="shared" si="9"/>
        <v>2.2763665488365143</v>
      </c>
      <c r="AD10" s="5">
        <f t="shared" si="10"/>
        <v>0.95775644852117692</v>
      </c>
      <c r="AE10" s="4">
        <f t="shared" si="11"/>
        <v>157.55169126196057</v>
      </c>
      <c r="AF10" s="4">
        <f t="shared" si="12"/>
        <v>54.483672718908515</v>
      </c>
      <c r="AG10" s="4">
        <f t="shared" si="13"/>
        <v>86.355932368756967</v>
      </c>
      <c r="AH10" s="4"/>
      <c r="AI10" s="34" t="str">
        <f t="shared" si="14"/>
        <v>+</v>
      </c>
      <c r="AJ10" s="81">
        <f t="shared" si="15"/>
        <v>0.6</v>
      </c>
      <c r="AK10" s="35">
        <f t="shared" si="16"/>
        <v>6.0043709393075542</v>
      </c>
      <c r="AL10" s="35">
        <f t="shared" si="17"/>
        <v>19.485978411523387</v>
      </c>
      <c r="AM10" s="36">
        <f t="shared" si="18"/>
        <v>157.55169126196057</v>
      </c>
      <c r="AN10" s="35">
        <f t="shared" si="19"/>
        <v>3.4052295449317822</v>
      </c>
      <c r="AO10" s="37">
        <f t="shared" si="20"/>
        <v>86.355932368756967</v>
      </c>
      <c r="AQ10" s="30" t="s">
        <v>35</v>
      </c>
      <c r="AR10" s="31">
        <f>$Q$4+$N$23*COS($N$17)</f>
        <v>-18</v>
      </c>
      <c r="AS10" s="32">
        <f>$Q$5+$N$23*SIN($N$17)</f>
        <v>0</v>
      </c>
      <c r="AT10" s="33">
        <f>$Q$4+$N$23*COS($N$17+$N$13)</f>
        <v>-15.588457268119896</v>
      </c>
      <c r="AU10" s="33">
        <f>$Q$5+$N$23*SIN($N$17+$N$13)</f>
        <v>8.9999999999999982</v>
      </c>
      <c r="AV10" s="31">
        <f>$Q$4+$N$23*COS($N$17+$N$14)</f>
        <v>-15.588457268119896</v>
      </c>
      <c r="AW10" s="32">
        <f>$Q$5+$N$23*SIN($N$17+$N$14)</f>
        <v>-8.9999999999999982</v>
      </c>
      <c r="AX10" s="33">
        <f>$Q$4+$N$23*COS($N$17+$Z$5-$Q$17)</f>
        <v>-17.732845260105282</v>
      </c>
      <c r="AY10" s="32">
        <f>$Q$5+$N$23*SIN($N$17+$Z$5-$Q$17)</f>
        <v>-3.0896923764610618</v>
      </c>
    </row>
    <row r="11" spans="1:51" ht="13.5" customHeight="1" thickBot="1">
      <c r="B11" s="59" t="s">
        <v>1</v>
      </c>
      <c r="C11" s="86">
        <v>30</v>
      </c>
      <c r="D11" s="87" t="s">
        <v>61</v>
      </c>
      <c r="E11" s="88"/>
      <c r="F11" s="7"/>
      <c r="G11" s="7"/>
      <c r="H11" s="7"/>
      <c r="I11" s="7"/>
      <c r="K11" s="1">
        <f>IF($K$5&gt;0,0.25,0.5)</f>
        <v>0.25</v>
      </c>
      <c r="M11" s="11" t="s">
        <v>24</v>
      </c>
      <c r="N11" s="1">
        <f>$N$20*C3</f>
        <v>-10</v>
      </c>
      <c r="P11" s="11" t="s">
        <v>10</v>
      </c>
      <c r="Q11" s="5">
        <f>Q$9*((AS$4-AW$6)*COS(N$16)-(AR$4-AV$6)*SIN(N$16)-(AS$4-AS$6))+Q$10*((AR$4-AT$6)*SIN(N$15)-(AS$4-AU$6)*COS(N$15)+(AS$4-AS$6))</f>
        <v>0.4392781917659363</v>
      </c>
      <c r="S11" s="3">
        <v>0.5</v>
      </c>
      <c r="T11" s="5">
        <f t="shared" si="0"/>
        <v>-2.0493250975608883</v>
      </c>
      <c r="U11" s="5">
        <f t="shared" si="1"/>
        <v>9.0412443231833635</v>
      </c>
      <c r="V11" s="5">
        <f t="shared" si="2"/>
        <v>-1.8482311866931591</v>
      </c>
      <c r="W11" s="5">
        <f t="shared" si="3"/>
        <v>-2.0736894953854299</v>
      </c>
      <c r="X11" s="5">
        <f t="shared" si="4"/>
        <v>1.59579947251028</v>
      </c>
      <c r="Y11" s="5">
        <f t="shared" si="5"/>
        <v>-1.9990875737110194</v>
      </c>
      <c r="Z11" s="5">
        <f t="shared" si="6"/>
        <v>-1.9990875737110194</v>
      </c>
      <c r="AA11" s="5">
        <f t="shared" si="7"/>
        <v>5.0849123491276123</v>
      </c>
      <c r="AB11" s="5">
        <f t="shared" si="8"/>
        <v>0.28639419231195856</v>
      </c>
      <c r="AC11" s="5">
        <f t="shared" si="9"/>
        <v>2.1787603174201093</v>
      </c>
      <c r="AD11" s="5">
        <f t="shared" si="10"/>
        <v>1.0130698600195536</v>
      </c>
      <c r="AE11" s="4">
        <f t="shared" si="11"/>
        <v>133.42555758493398</v>
      </c>
      <c r="AF11" s="4">
        <f t="shared" si="12"/>
        <v>44.478726622606949</v>
      </c>
      <c r="AG11" s="4">
        <f t="shared" si="13"/>
        <v>76.015038165696694</v>
      </c>
      <c r="AH11" s="4"/>
      <c r="AI11" s="34" t="str">
        <f t="shared" si="14"/>
        <v>+</v>
      </c>
      <c r="AJ11" s="81">
        <f t="shared" si="15"/>
        <v>0.5</v>
      </c>
      <c r="AK11" s="35">
        <f t="shared" si="16"/>
        <v>5.0849123491276123</v>
      </c>
      <c r="AL11" s="35">
        <f t="shared" si="17"/>
        <v>16.409178496533276</v>
      </c>
      <c r="AM11" s="36">
        <f t="shared" si="18"/>
        <v>133.42555758493398</v>
      </c>
      <c r="AN11" s="35">
        <f t="shared" si="19"/>
        <v>2.7799204139129343</v>
      </c>
      <c r="AO11" s="37">
        <f t="shared" si="20"/>
        <v>76.015038165696694</v>
      </c>
      <c r="AQ11" s="43" t="s">
        <v>50</v>
      </c>
      <c r="AR11" s="44">
        <f>IF($AV$12&gt;1,AX11*$AV$12,AX11)+SIGN(AX11)*AW12</f>
        <v>20</v>
      </c>
      <c r="AS11" s="45">
        <f>IF($AV$12&lt;1,AY11/$AV$12,AY11)+SIGN(AY11)</f>
        <v>9.9999999999999982</v>
      </c>
      <c r="AT11" s="44" t="s">
        <v>82</v>
      </c>
      <c r="AU11" s="44"/>
      <c r="AV11" s="44">
        <f>AX11-AX12</f>
        <v>36</v>
      </c>
      <c r="AW11" s="44">
        <f>AY11-AY12</f>
        <v>17.999999999999996</v>
      </c>
      <c r="AX11" s="44">
        <f>MAX(AR4:AR10,AT4:AT10,AV4:AV10,AX4:AX10)</f>
        <v>18</v>
      </c>
      <c r="AY11" s="45">
        <f>MAX(AS4:AS10,AU4:AU10,AW4:AW10,AY4:AY10)</f>
        <v>8.9999999999999982</v>
      </c>
    </row>
    <row r="12" spans="1:51" ht="13.5" customHeight="1" thickBot="1">
      <c r="F12" s="7"/>
      <c r="G12" s="7"/>
      <c r="H12" s="7"/>
      <c r="I12" s="7"/>
      <c r="M12" s="11" t="s">
        <v>26</v>
      </c>
      <c r="N12" s="1">
        <f>$N$20*C5</f>
        <v>-0.5</v>
      </c>
      <c r="P12" s="11" t="s">
        <v>11</v>
      </c>
      <c r="Q12" s="5">
        <f>Q$9*(-(AS$4-AW$6)*SIN(N$16)-(AR$4-AV$6)*COS(N$16)+(AR$4-AR$6))+Q$10*((AR$4-AT$6)*COS(N$15)+(AS$4-AU$6)*SIN(N$15)-(AR$4-AR$6))</f>
        <v>-305.73912977588759</v>
      </c>
      <c r="S12" s="3">
        <v>0.4</v>
      </c>
      <c r="T12" s="5">
        <f t="shared" si="0"/>
        <v>-1.9533319887012002</v>
      </c>
      <c r="U12" s="5">
        <f t="shared" si="1"/>
        <v>9.2228033530537221</v>
      </c>
      <c r="V12" s="5">
        <f t="shared" si="2"/>
        <v>-1.9316149562655571</v>
      </c>
      <c r="W12" s="5">
        <f t="shared" si="3"/>
        <v>-1.5601630105575048</v>
      </c>
      <c r="X12" s="5">
        <f t="shared" si="4"/>
        <v>1.5306786982189455</v>
      </c>
      <c r="Y12" s="5">
        <f t="shared" si="5"/>
        <v>-1.9435884066402831</v>
      </c>
      <c r="Z12" s="5">
        <f t="shared" si="6"/>
        <v>-1.9435884066402831</v>
      </c>
      <c r="AA12" s="5">
        <f t="shared" si="7"/>
        <v>4.1192799859063198</v>
      </c>
      <c r="AB12" s="5">
        <f t="shared" si="8"/>
        <v>0.23089502524122249</v>
      </c>
      <c r="AC12" s="5">
        <f t="shared" si="9"/>
        <v>2.0821121832737308</v>
      </c>
      <c r="AD12" s="5">
        <f t="shared" si="10"/>
        <v>1.0692240523769794</v>
      </c>
      <c r="AE12" s="4">
        <f t="shared" si="11"/>
        <v>108.08784719018888</v>
      </c>
      <c r="AF12" s="4">
        <f t="shared" si="12"/>
        <v>34.866439859371525</v>
      </c>
      <c r="AG12" s="4">
        <f t="shared" si="13"/>
        <v>63.31078431428989</v>
      </c>
      <c r="AH12" s="4"/>
      <c r="AI12" s="34" t="str">
        <f t="shared" si="14"/>
        <v>+</v>
      </c>
      <c r="AJ12" s="81">
        <f t="shared" si="15"/>
        <v>0.4</v>
      </c>
      <c r="AK12" s="35">
        <f t="shared" si="16"/>
        <v>4.1192799859063198</v>
      </c>
      <c r="AL12" s="35">
        <f t="shared" si="17"/>
        <v>13.229310456888662</v>
      </c>
      <c r="AM12" s="36">
        <f t="shared" si="18"/>
        <v>108.08784719018888</v>
      </c>
      <c r="AN12" s="35">
        <f t="shared" si="19"/>
        <v>2.1791524912107203</v>
      </c>
      <c r="AO12" s="37">
        <f t="shared" si="20"/>
        <v>63.31078431428989</v>
      </c>
      <c r="AQ12" s="42" t="s">
        <v>51</v>
      </c>
      <c r="AR12" s="46">
        <f>IF($AV$12&gt;1,AX12*$AV$12,AX12)+SIGN(AX12)*AW12</f>
        <v>-20</v>
      </c>
      <c r="AS12" s="47">
        <f>IF($AV$12&lt;1,AY12/$AV$12,AY12)+SIGN(AY12)</f>
        <v>-9.9999999999999982</v>
      </c>
      <c r="AT12" s="46"/>
      <c r="AU12" s="46"/>
      <c r="AV12" s="46">
        <f>$AW$12/($AV$11/$AW$11)</f>
        <v>0.99999999999999978</v>
      </c>
      <c r="AW12" s="46">
        <v>2</v>
      </c>
      <c r="AX12" s="46">
        <f>MIN(AR5:AR10,AT5:AT10,AV5:AV10,AX5:AX10)</f>
        <v>-18</v>
      </c>
      <c r="AY12" s="47">
        <f>MIN(AS5:AS10,AU5:AU10,AW5:AW10,AY5:AY10)</f>
        <v>-8.9999999999999982</v>
      </c>
    </row>
    <row r="13" spans="1:51" ht="13.5" customHeight="1" thickBot="1">
      <c r="B13" s="52" t="s">
        <v>16</v>
      </c>
      <c r="C13" s="64">
        <f>N7-90</f>
        <v>0</v>
      </c>
      <c r="D13" s="64" t="s">
        <v>61</v>
      </c>
      <c r="E13" s="54"/>
      <c r="F13" s="7"/>
      <c r="G13" s="7"/>
      <c r="H13" s="7"/>
      <c r="I13" s="7"/>
      <c r="K13" s="11" t="s">
        <v>199</v>
      </c>
      <c r="M13" s="11" t="s">
        <v>0</v>
      </c>
      <c r="N13" s="6">
        <f>$N$20*RADIANS(C10)</f>
        <v>-0.52359877559829882</v>
      </c>
      <c r="P13" s="11" t="s">
        <v>12</v>
      </c>
      <c r="Q13" s="6">
        <f>IF(AS$6-AS$4&gt;=0,ACOS((AR$6-AR$4)/SQRT((AR$6-AR$4)^2+(AS$6-AS$4)^2)),-ACOS((AR$6-AR$4)/SQRT((AR$6-AR$4)^2+(AS$6-AS$4)^2)))</f>
        <v>-2.8198420991931514</v>
      </c>
      <c r="S13" s="3">
        <v>0.3</v>
      </c>
      <c r="T13" s="5">
        <f t="shared" si="0"/>
        <v>-1.857338879841512</v>
      </c>
      <c r="U13" s="5">
        <f t="shared" si="1"/>
        <v>9.4115185013085476</v>
      </c>
      <c r="V13" s="5">
        <f t="shared" si="2"/>
        <v>-1.9972131816586809</v>
      </c>
      <c r="W13" s="5">
        <f t="shared" si="3"/>
        <v>-1.026395966383058</v>
      </c>
      <c r="X13" s="5">
        <f t="shared" si="4"/>
        <v>1.4685741291240468</v>
      </c>
      <c r="Y13" s="5">
        <f t="shared" si="5"/>
        <v>-1.8867888921990521</v>
      </c>
      <c r="Z13" s="5">
        <f t="shared" si="6"/>
        <v>-1.8867888921990521</v>
      </c>
      <c r="AA13" s="5">
        <f t="shared" si="7"/>
        <v>3.1179130555796566</v>
      </c>
      <c r="AB13" s="5">
        <f t="shared" si="8"/>
        <v>0.17409551079999172</v>
      </c>
      <c r="AC13" s="5">
        <f t="shared" si="9"/>
        <v>1.9863277558089447</v>
      </c>
      <c r="AD13" s="5">
        <f t="shared" si="10"/>
        <v>1.1258148854233083</v>
      </c>
      <c r="AE13" s="4">
        <f t="shared" si="11"/>
        <v>81.812479621882403</v>
      </c>
      <c r="AF13" s="4">
        <f t="shared" si="12"/>
        <v>25.636589216609508</v>
      </c>
      <c r="AG13" s="4">
        <f t="shared" si="13"/>
        <v>48.835754346907478</v>
      </c>
      <c r="AH13" s="4"/>
      <c r="AI13" s="34" t="str">
        <f t="shared" si="14"/>
        <v>+</v>
      </c>
      <c r="AJ13" s="81">
        <f t="shared" si="15"/>
        <v>0.3</v>
      </c>
      <c r="AK13" s="35">
        <f t="shared" si="16"/>
        <v>3.1179130555796566</v>
      </c>
      <c r="AL13" s="35">
        <f t="shared" si="17"/>
        <v>9.9749380010137685</v>
      </c>
      <c r="AM13" s="36">
        <f t="shared" si="18"/>
        <v>81.812479621882403</v>
      </c>
      <c r="AN13" s="35">
        <f t="shared" si="19"/>
        <v>1.6022868260380942</v>
      </c>
      <c r="AO13" s="37">
        <f t="shared" si="20"/>
        <v>48.835754346907478</v>
      </c>
      <c r="AQ13" s="10" t="s">
        <v>210</v>
      </c>
    </row>
    <row r="14" spans="1:51" ht="13.5" customHeight="1">
      <c r="B14" s="56" t="s">
        <v>29</v>
      </c>
      <c r="C14" s="57">
        <f>N8-20</f>
        <v>0</v>
      </c>
      <c r="D14" s="57" t="s">
        <v>61</v>
      </c>
      <c r="E14" s="58"/>
      <c r="F14" s="7"/>
      <c r="G14" s="7"/>
      <c r="H14" s="7"/>
      <c r="I14" s="7"/>
      <c r="K14" s="1">
        <f>IF($K$5&gt;0,0,-1)</f>
        <v>0</v>
      </c>
      <c r="M14" s="11" t="s">
        <v>1</v>
      </c>
      <c r="N14" s="6">
        <f>-$N$20*RADIANS(C11)</f>
        <v>0.52359877559829882</v>
      </c>
      <c r="P14" s="11" t="s">
        <v>168</v>
      </c>
      <c r="Q14" s="6">
        <f>IF(AS$9-AS$4&gt;=0,ACOS((AR$9-AR$4)/SQRT((AR$9-AR$4)^2+(AS$9-AS$4)^2)),-ACOS((AR$9-AR$4)/SQRT((AR$9-AR$4)^2+(AS$9-AS$4)^2)))</f>
        <v>3.1415926535897931</v>
      </c>
      <c r="S14" s="3">
        <v>0.2</v>
      </c>
      <c r="T14" s="5">
        <f t="shared" si="0"/>
        <v>-1.7613457709818241</v>
      </c>
      <c r="U14" s="5">
        <f t="shared" si="1"/>
        <v>9.6056521537324961</v>
      </c>
      <c r="V14" s="5">
        <f t="shared" si="2"/>
        <v>-2.0444218604381801</v>
      </c>
      <c r="W14" s="5">
        <f t="shared" si="3"/>
        <v>-0.47730307804111388</v>
      </c>
      <c r="X14" s="5">
        <f t="shared" si="4"/>
        <v>1.4097105123788429</v>
      </c>
      <c r="Y14" s="5">
        <f t="shared" si="5"/>
        <v>-1.8291228815948315</v>
      </c>
      <c r="Z14" s="5">
        <f t="shared" si="6"/>
        <v>-1.8291228815948315</v>
      </c>
      <c r="AA14" s="5">
        <f t="shared" si="7"/>
        <v>2.0909993167429826</v>
      </c>
      <c r="AB14" s="5">
        <f t="shared" si="8"/>
        <v>0.11642950019577089</v>
      </c>
      <c r="AC14" s="5">
        <f t="shared" si="9"/>
        <v>1.8913364167828797</v>
      </c>
      <c r="AD14" s="5">
        <f t="shared" si="10"/>
        <v>1.1824791261939058</v>
      </c>
      <c r="AE14" s="4">
        <f t="shared" si="11"/>
        <v>54.866776571677484</v>
      </c>
      <c r="AF14" s="4">
        <f t="shared" si="12"/>
        <v>16.767013463631489</v>
      </c>
      <c r="AG14" s="4">
        <f t="shared" si="13"/>
        <v>33.132557611424389</v>
      </c>
      <c r="AH14" s="4"/>
      <c r="AI14" s="34" t="str">
        <f t="shared" si="14"/>
        <v>+</v>
      </c>
      <c r="AJ14" s="81">
        <f t="shared" si="15"/>
        <v>0.2</v>
      </c>
      <c r="AK14" s="35">
        <f t="shared" si="16"/>
        <v>2.0909993167429826</v>
      </c>
      <c r="AL14" s="35">
        <f t="shared" si="17"/>
        <v>6.6709189720352642</v>
      </c>
      <c r="AM14" s="36">
        <f t="shared" si="18"/>
        <v>54.866776571677484</v>
      </c>
      <c r="AN14" s="35">
        <f t="shared" si="19"/>
        <v>1.0479383414769681</v>
      </c>
      <c r="AO14" s="37">
        <f t="shared" si="20"/>
        <v>33.132557611424389</v>
      </c>
      <c r="AQ14" s="16" t="s">
        <v>40</v>
      </c>
      <c r="AR14" s="146" t="s">
        <v>174</v>
      </c>
      <c r="AS14" s="139" t="s">
        <v>172</v>
      </c>
    </row>
    <row r="15" spans="1:51" ht="13.5" customHeight="1" thickBot="1">
      <c r="B15" s="59" t="s">
        <v>52</v>
      </c>
      <c r="C15" s="87"/>
      <c r="D15" s="87"/>
      <c r="E15" s="88"/>
      <c r="F15" s="7"/>
      <c r="G15" s="7"/>
      <c r="H15" s="7"/>
      <c r="I15" s="7"/>
      <c r="M15" s="11" t="s">
        <v>2</v>
      </c>
      <c r="N15" s="6">
        <f>$N$20*$N$22*RADIANS(C8)</f>
        <v>-0.95993108859688125</v>
      </c>
      <c r="P15" s="11" t="s">
        <v>49</v>
      </c>
      <c r="Q15" s="6">
        <f>IF(Q$11=0,PI()/2,ATAN(Q$12/Q$11))</f>
        <v>-1.5693595532624478</v>
      </c>
      <c r="S15" s="3">
        <v>0.1</v>
      </c>
      <c r="T15" s="5">
        <f t="shared" si="0"/>
        <v>-1.665352662122136</v>
      </c>
      <c r="U15" s="5">
        <f t="shared" si="1"/>
        <v>9.8034168046735353</v>
      </c>
      <c r="V15" s="5">
        <f t="shared" si="2"/>
        <v>-2.0728063138191577</v>
      </c>
      <c r="W15" s="5">
        <f t="shared" si="3"/>
        <v>8.2059824996483274E-2</v>
      </c>
      <c r="X15" s="5">
        <f t="shared" si="4"/>
        <v>1.3542385335620348</v>
      </c>
      <c r="Y15" s="5">
        <f t="shared" si="5"/>
        <v>-1.7709749837887523</v>
      </c>
      <c r="Z15" s="5">
        <f t="shared" si="6"/>
        <v>-1.7709749837887523</v>
      </c>
      <c r="AA15" s="5">
        <f t="shared" si="7"/>
        <v>1.0484750406176999</v>
      </c>
      <c r="AB15" s="5">
        <f t="shared" si="8"/>
        <v>5.828160238969169E-2</v>
      </c>
      <c r="AC15" s="5">
        <f t="shared" si="9"/>
        <v>1.7970875468224117</v>
      </c>
      <c r="AD15" s="5">
        <f t="shared" si="10"/>
        <v>1.2388827851007653</v>
      </c>
      <c r="AE15" s="4">
        <f t="shared" si="11"/>
        <v>27.511460828288133</v>
      </c>
      <c r="AF15" s="4">
        <f t="shared" si="12"/>
        <v>8.2306400790943037</v>
      </c>
      <c r="AG15" s="4">
        <f t="shared" si="13"/>
        <v>16.700170037236859</v>
      </c>
      <c r="AH15" s="4"/>
      <c r="AI15" s="34" t="str">
        <f t="shared" si="14"/>
        <v>+</v>
      </c>
      <c r="AJ15" s="81">
        <f t="shared" si="15"/>
        <v>0.1</v>
      </c>
      <c r="AK15" s="35">
        <f t="shared" si="16"/>
        <v>1.0484750406176999</v>
      </c>
      <c r="AL15" s="35">
        <f t="shared" si="17"/>
        <v>3.3392898401889068</v>
      </c>
      <c r="AM15" s="36">
        <f t="shared" si="18"/>
        <v>27.511460828288133</v>
      </c>
      <c r="AN15" s="35">
        <f t="shared" si="19"/>
        <v>0.51441500494339398</v>
      </c>
      <c r="AO15" s="37">
        <f t="shared" si="20"/>
        <v>16.700170037236859</v>
      </c>
      <c r="AQ15" s="140"/>
      <c r="AR15" s="141" t="s">
        <v>61</v>
      </c>
      <c r="AS15" s="142" t="s">
        <v>173</v>
      </c>
    </row>
    <row r="16" spans="1:51" ht="13.5" customHeight="1">
      <c r="B16" s="52" t="s">
        <v>75</v>
      </c>
      <c r="C16" s="53">
        <v>70</v>
      </c>
      <c r="D16" s="64" t="s">
        <v>62</v>
      </c>
      <c r="E16" s="54"/>
      <c r="F16" s="7"/>
      <c r="G16" s="7"/>
      <c r="H16" s="7"/>
      <c r="I16" s="7"/>
      <c r="K16" s="11" t="s">
        <v>200</v>
      </c>
      <c r="M16" s="11" t="s">
        <v>3</v>
      </c>
      <c r="N16" s="6">
        <f>-$N$20*$N$22*RADIANS(C9)</f>
        <v>0.95993108859688125</v>
      </c>
      <c r="P16" s="11" t="s">
        <v>4</v>
      </c>
      <c r="Q16" s="6">
        <f>SQRT(N$12^2+C$6^2)</f>
        <v>3.5355339059327378</v>
      </c>
      <c r="S16" s="3">
        <v>0</v>
      </c>
      <c r="T16" s="5">
        <f t="shared" si="0"/>
        <v>-1.5693595532624478</v>
      </c>
      <c r="U16" s="5">
        <f t="shared" si="1"/>
        <v>10.002991515685833</v>
      </c>
      <c r="V16" s="5">
        <f t="shared" si="2"/>
        <v>-2.0821051890159703</v>
      </c>
      <c r="W16" s="5">
        <f t="shared" si="3"/>
        <v>0.64654235103705027</v>
      </c>
      <c r="X16" s="5">
        <f t="shared" si="4"/>
        <v>1.3022573828791826</v>
      </c>
      <c r="Y16" s="5">
        <f t="shared" si="5"/>
        <v>-1.7126933813990612</v>
      </c>
      <c r="Z16" s="5">
        <f t="shared" si="6"/>
        <v>-1.7126933813990612</v>
      </c>
      <c r="AA16" s="5">
        <f t="shared" si="7"/>
        <v>1.1576677116931222E-14</v>
      </c>
      <c r="AB16" s="5">
        <f t="shared" si="8"/>
        <v>6.4314872871840123E-16</v>
      </c>
      <c r="AC16" s="5">
        <f t="shared" si="9"/>
        <v>1.7035474355734697</v>
      </c>
      <c r="AD16" s="5">
        <f t="shared" si="10"/>
        <v>1.2947113898797098</v>
      </c>
      <c r="AE16" s="4">
        <f t="shared" si="11"/>
        <v>3.037662192097168E-13</v>
      </c>
      <c r="AF16" s="4">
        <f t="shared" si="12"/>
        <v>8.9299844737176479E-14</v>
      </c>
      <c r="AG16" s="4">
        <f t="shared" si="13"/>
        <v>1.842959413045461E-13</v>
      </c>
      <c r="AH16" s="4"/>
      <c r="AI16" s="34" t="str">
        <f t="shared" si="14"/>
        <v/>
      </c>
      <c r="AJ16" s="81">
        <f t="shared" si="15"/>
        <v>0</v>
      </c>
      <c r="AK16" s="35">
        <f t="shared" si="16"/>
        <v>1.1576677116931222E-14</v>
      </c>
      <c r="AL16" s="35">
        <f t="shared" si="17"/>
        <v>3.6849707754768714E-14</v>
      </c>
      <c r="AM16" s="36">
        <f t="shared" si="18"/>
        <v>3.037662192097168E-13</v>
      </c>
      <c r="AN16" s="35">
        <f t="shared" si="19"/>
        <v>5.5812402960735299E-15</v>
      </c>
      <c r="AO16" s="37">
        <f t="shared" si="20"/>
        <v>1.842959413045461E-13</v>
      </c>
      <c r="AQ16" s="136">
        <v>0</v>
      </c>
      <c r="AR16" s="148">
        <f ca="1">SIGN($AC$6-$AC$26)*(ABS(OFFSET($AL$16,-AQ16*10,0))-ABS(OFFSET($AL$16,AQ16*10,0)))</f>
        <v>0</v>
      </c>
      <c r="AS16" s="145">
        <f t="shared" ref="AS16:AS26" ca="1" si="21">RADIANS(AR16)*$Q$16*10*MAX(ABS(SIN(OFFSET($AC$16,AQ16*10,0))),ABS(SIN(OFFSET($AC$16,-AQ16*10,0))))</f>
        <v>0</v>
      </c>
    </row>
    <row r="17" spans="2:45" ht="13.5" customHeight="1">
      <c r="B17" s="56" t="s">
        <v>76</v>
      </c>
      <c r="C17" s="60">
        <v>18</v>
      </c>
      <c r="D17" s="57" t="s">
        <v>60</v>
      </c>
      <c r="E17" s="58"/>
      <c r="F17" s="7"/>
      <c r="G17" s="7"/>
      <c r="H17" s="1" t="s">
        <v>209</v>
      </c>
      <c r="I17" s="7"/>
      <c r="K17" s="1">
        <v>1</v>
      </c>
      <c r="M17" s="11" t="s">
        <v>16</v>
      </c>
      <c r="N17" s="1">
        <f>RADIANS($N$20*C$13)</f>
        <v>0</v>
      </c>
      <c r="P17" s="11" t="s">
        <v>5</v>
      </c>
      <c r="Q17" s="6">
        <f>IF(N$12=0,SIGN(C$6)*PI()/2,IF(SIGN(N$12)&gt;0,ATAN(C$6/N$12),ATAN(C$6/N$12)+PI()))+N$17</f>
        <v>4.5704919257805257</v>
      </c>
      <c r="S17" s="3">
        <v>-0.1</v>
      </c>
      <c r="T17" s="5">
        <f t="shared" si="0"/>
        <v>-1.4733664444027597</v>
      </c>
      <c r="U17" s="5">
        <f t="shared" si="1"/>
        <v>10.202538682008532</v>
      </c>
      <c r="V17" s="5">
        <f t="shared" si="2"/>
        <v>-2.0722328656749887</v>
      </c>
      <c r="W17" s="5">
        <f t="shared" si="3"/>
        <v>1.2109469689304106</v>
      </c>
      <c r="X17" s="5">
        <f t="shared" si="4"/>
        <v>1.2538329568042152</v>
      </c>
      <c r="Y17" s="5">
        <f t="shared" si="5"/>
        <v>-1.6546003558500411</v>
      </c>
      <c r="Z17" s="5">
        <f t="shared" si="6"/>
        <v>-1.6546003558500411</v>
      </c>
      <c r="AA17" s="5">
        <f t="shared" si="7"/>
        <v>-1.0450864021587758</v>
      </c>
      <c r="AB17" s="5">
        <f t="shared" si="8"/>
        <v>-5.8093025549019545E-2</v>
      </c>
      <c r="AC17" s="5">
        <f t="shared" si="9"/>
        <v>1.6106967950091413</v>
      </c>
      <c r="AD17" s="5">
        <f t="shared" si="10"/>
        <v>1.3496619471333704</v>
      </c>
      <c r="AE17" s="4">
        <f t="shared" si="11"/>
        <v>27.4225446494452</v>
      </c>
      <c r="AF17" s="4">
        <f t="shared" si="12"/>
        <v>7.9498516321555535</v>
      </c>
      <c r="AG17" s="4">
        <f t="shared" si="13"/>
        <v>16.5392700302138</v>
      </c>
      <c r="AH17" s="4"/>
      <c r="AI17" s="34" t="str">
        <f t="shared" si="14"/>
        <v>-</v>
      </c>
      <c r="AJ17" s="81">
        <f t="shared" si="15"/>
        <v>0.1</v>
      </c>
      <c r="AK17" s="35">
        <f t="shared" si="16"/>
        <v>1.0450864021587758</v>
      </c>
      <c r="AL17" s="35">
        <f t="shared" si="17"/>
        <v>3.3284851831044819</v>
      </c>
      <c r="AM17" s="36">
        <f t="shared" si="18"/>
        <v>27.4225446494452</v>
      </c>
      <c r="AN17" s="35">
        <f t="shared" si="19"/>
        <v>0.49686572700972209</v>
      </c>
      <c r="AO17" s="37">
        <f t="shared" si="20"/>
        <v>16.5392700302138</v>
      </c>
      <c r="AQ17" s="34">
        <v>0.1</v>
      </c>
      <c r="AR17" s="149">
        <f t="shared" ref="AR17:AR26" ca="1" si="22">SIGN($AC$6-$AC$26)*(ABS(OFFSET($AL$16,-AQ17*10,0))-ABS(OFFSET($AL$16,AQ17*10,0)))</f>
        <v>1.0804657084424907E-2</v>
      </c>
      <c r="AS17" s="143">
        <f t="shared" ca="1" si="21"/>
        <v>6.6618915971672589E-3</v>
      </c>
    </row>
    <row r="18" spans="2:45" ht="13.5" customHeight="1" thickBot="1">
      <c r="B18" s="61" t="s">
        <v>77</v>
      </c>
      <c r="C18" s="65">
        <v>35</v>
      </c>
      <c r="D18" s="62" t="s">
        <v>60</v>
      </c>
      <c r="E18" s="63"/>
      <c r="F18" s="7"/>
      <c r="G18" s="13" t="s">
        <v>85</v>
      </c>
      <c r="H18" s="13" t="s">
        <v>83</v>
      </c>
      <c r="I18" s="13" t="s">
        <v>84</v>
      </c>
      <c r="M18" s="11" t="s">
        <v>29</v>
      </c>
      <c r="N18" s="1">
        <f>RADIANS($C$14)*$N$20</f>
        <v>0</v>
      </c>
      <c r="P18" s="11" t="s">
        <v>6</v>
      </c>
      <c r="Q18" s="6">
        <f>Q$17+N$13</f>
        <v>4.0468931501822265</v>
      </c>
      <c r="S18" s="3">
        <v>-0.2</v>
      </c>
      <c r="T18" s="5">
        <f t="shared" si="0"/>
        <v>-1.3773733355430715</v>
      </c>
      <c r="U18" s="5">
        <f t="shared" si="1"/>
        <v>10.400220952501352</v>
      </c>
      <c r="V18" s="5">
        <f t="shared" si="2"/>
        <v>-2.0432802442328462</v>
      </c>
      <c r="W18" s="5">
        <f t="shared" si="3"/>
        <v>1.7700768648737149</v>
      </c>
      <c r="X18" s="5">
        <f t="shared" si="4"/>
        <v>1.2090122739798661</v>
      </c>
      <c r="Y18" s="5">
        <f t="shared" si="5"/>
        <v>-1.5970008730303602</v>
      </c>
      <c r="Z18" s="5">
        <f t="shared" si="6"/>
        <v>-1.5970008730303602</v>
      </c>
      <c r="AA18" s="5">
        <f t="shared" si="7"/>
        <v>-2.0778227104649374</v>
      </c>
      <c r="AB18" s="5">
        <f t="shared" si="8"/>
        <v>-0.1156925083687004</v>
      </c>
      <c r="AC18" s="5">
        <f t="shared" si="9"/>
        <v>1.518528760572861</v>
      </c>
      <c r="AD18" s="5">
        <f t="shared" si="10"/>
        <v>1.4034363555296439</v>
      </c>
      <c r="AE18" s="4">
        <f t="shared" si="11"/>
        <v>54.521029011244728</v>
      </c>
      <c r="AF18" s="4">
        <f t="shared" si="12"/>
        <v>15.639389628162856</v>
      </c>
      <c r="AG18" s="4">
        <f t="shared" si="13"/>
        <v>32.518418781090048</v>
      </c>
      <c r="AH18" s="4"/>
      <c r="AI18" s="34" t="str">
        <f t="shared" si="14"/>
        <v>-</v>
      </c>
      <c r="AJ18" s="81">
        <f t="shared" si="15"/>
        <v>0.2</v>
      </c>
      <c r="AK18" s="35">
        <f t="shared" si="16"/>
        <v>2.0778227104649374</v>
      </c>
      <c r="AL18" s="35">
        <f t="shared" si="17"/>
        <v>6.6286924508084901</v>
      </c>
      <c r="AM18" s="36">
        <f t="shared" si="18"/>
        <v>54.521029011244728</v>
      </c>
      <c r="AN18" s="35">
        <f t="shared" si="19"/>
        <v>0.97746185176017852</v>
      </c>
      <c r="AO18" s="37">
        <f t="shared" si="20"/>
        <v>32.518418781090048</v>
      </c>
      <c r="AQ18" s="34">
        <v>0.2</v>
      </c>
      <c r="AR18" s="149">
        <f t="shared" ca="1" si="22"/>
        <v>4.2226521226774061E-2</v>
      </c>
      <c r="AS18" s="143">
        <f t="shared" ca="1" si="21"/>
        <v>2.6021012044708615E-2</v>
      </c>
    </row>
    <row r="19" spans="2:45" ht="13.5" customHeight="1" thickBot="1">
      <c r="F19" s="7"/>
      <c r="G19" s="7"/>
      <c r="H19" s="7"/>
      <c r="I19" s="7"/>
      <c r="M19" s="11" t="s">
        <v>53</v>
      </c>
      <c r="N19" s="2" t="b">
        <v>1</v>
      </c>
      <c r="P19" s="11" t="s">
        <v>7</v>
      </c>
      <c r="Q19" s="6">
        <f>Q$17+N$14</f>
        <v>5.0940907013788248</v>
      </c>
      <c r="S19" s="3">
        <v>-0.3</v>
      </c>
      <c r="T19" s="5">
        <f t="shared" si="0"/>
        <v>-1.2813802266833834</v>
      </c>
      <c r="U19" s="5">
        <f t="shared" si="1"/>
        <v>10.594218147244941</v>
      </c>
      <c r="V19" s="5">
        <f t="shared" si="2"/>
        <v>-1.9955139089412828</v>
      </c>
      <c r="W19" s="5">
        <f t="shared" si="3"/>
        <v>2.3187837926111539</v>
      </c>
      <c r="X19" s="5">
        <f t="shared" si="4"/>
        <v>1.167834675687796</v>
      </c>
      <c r="Y19" s="5">
        <f t="shared" si="5"/>
        <v>-1.5401895274533628</v>
      </c>
      <c r="Z19" s="5">
        <f t="shared" si="6"/>
        <v>-1.5401895274533628</v>
      </c>
      <c r="AA19" s="5">
        <f t="shared" si="7"/>
        <v>-3.0896923764610618</v>
      </c>
      <c r="AB19" s="5">
        <f t="shared" si="8"/>
        <v>-0.17250385394569825</v>
      </c>
      <c r="AC19" s="5">
        <f t="shared" si="9"/>
        <v>1.4270472555318645</v>
      </c>
      <c r="AD19" s="5">
        <f t="shared" si="10"/>
        <v>1.4557360972879485</v>
      </c>
      <c r="AE19" s="4">
        <f t="shared" si="11"/>
        <v>81.071983112150022</v>
      </c>
      <c r="AF19" s="4">
        <f t="shared" si="12"/>
        <v>23.083249020723294</v>
      </c>
      <c r="AG19" s="4">
        <f t="shared" si="13"/>
        <v>47.566087043020985</v>
      </c>
      <c r="AH19" s="4"/>
      <c r="AI19" s="34" t="str">
        <f t="shared" si="14"/>
        <v>-</v>
      </c>
      <c r="AJ19" s="81">
        <f t="shared" si="15"/>
        <v>0.3</v>
      </c>
      <c r="AK19" s="35">
        <f t="shared" si="16"/>
        <v>3.0896923764610618</v>
      </c>
      <c r="AL19" s="35">
        <f t="shared" si="17"/>
        <v>9.8837427808296834</v>
      </c>
      <c r="AM19" s="36">
        <f t="shared" si="18"/>
        <v>81.071983112150022</v>
      </c>
      <c r="AN19" s="35">
        <f t="shared" si="19"/>
        <v>1.4427030637952059</v>
      </c>
      <c r="AO19" s="37">
        <f t="shared" si="20"/>
        <v>47.566087043020985</v>
      </c>
      <c r="AQ19" s="34">
        <v>0.3</v>
      </c>
      <c r="AR19" s="149">
        <f t="shared" ca="1" si="22"/>
        <v>9.1195220184085102E-2</v>
      </c>
      <c r="AS19" s="143">
        <f t="shared" ca="1" si="21"/>
        <v>5.5693155495430371E-2</v>
      </c>
    </row>
    <row r="20" spans="2:45" ht="13.5" customHeight="1">
      <c r="B20" s="67" t="s">
        <v>40</v>
      </c>
      <c r="C20" s="68">
        <f>N9-100</f>
        <v>-30</v>
      </c>
      <c r="D20" s="69" t="s">
        <v>65</v>
      </c>
      <c r="E20" s="70"/>
      <c r="F20" s="7"/>
      <c r="M20" s="11" t="s">
        <v>53</v>
      </c>
      <c r="N20" s="1">
        <f>IF(N$19,-1,1)</f>
        <v>-1</v>
      </c>
      <c r="P20" s="11" t="s">
        <v>23</v>
      </c>
      <c r="Q20" s="5">
        <f>Q10/(2*(($AR$4-$AV$6)*COS(Q23)-($AR$4-$AR$6)*COS($Q$21)+($AS$4-$AW$6)*SIN(Q23)-($AS$4-$AS$6)*SIN($Q$21)))</f>
        <v>2.0821073380816197</v>
      </c>
      <c r="S20" s="3">
        <v>-0.4</v>
      </c>
      <c r="T20" s="5">
        <f t="shared" si="0"/>
        <v>-1.1853871178236952</v>
      </c>
      <c r="U20" s="5">
        <f t="shared" si="1"/>
        <v>10.782744017035453</v>
      </c>
      <c r="V20" s="5">
        <f t="shared" si="2"/>
        <v>-1.9293736732651168</v>
      </c>
      <c r="W20" s="5">
        <f t="shared" si="3"/>
        <v>2.8520154764430052</v>
      </c>
      <c r="X20" s="5">
        <f t="shared" si="4"/>
        <v>1.1303403028707404</v>
      </c>
      <c r="Y20" s="5">
        <f t="shared" si="5"/>
        <v>-1.4844560601395373</v>
      </c>
      <c r="Z20" s="5">
        <f t="shared" si="6"/>
        <v>-1.4844560601395373</v>
      </c>
      <c r="AA20" s="5">
        <f t="shared" si="7"/>
        <v>-4.0726963656361717</v>
      </c>
      <c r="AB20" s="5">
        <f t="shared" si="8"/>
        <v>-0.22823732125952326</v>
      </c>
      <c r="AC20" s="5">
        <f t="shared" si="9"/>
        <v>1.3362655941258523</v>
      </c>
      <c r="AD20" s="5">
        <f t="shared" si="10"/>
        <v>1.5062581171480984</v>
      </c>
      <c r="AE20" s="4">
        <f t="shared" si="11"/>
        <v>106.86551628611032</v>
      </c>
      <c r="AF20" s="4">
        <f t="shared" si="12"/>
        <v>30.289190577491436</v>
      </c>
      <c r="AG20" s="4">
        <f t="shared" si="13"/>
        <v>61.338837512991404</v>
      </c>
      <c r="AH20" s="4"/>
      <c r="AI20" s="34" t="str">
        <f t="shared" si="14"/>
        <v>-</v>
      </c>
      <c r="AJ20" s="81">
        <f t="shared" si="15"/>
        <v>0.4</v>
      </c>
      <c r="AK20" s="35">
        <f t="shared" si="16"/>
        <v>4.0726963656361717</v>
      </c>
      <c r="AL20" s="35">
        <f t="shared" si="17"/>
        <v>13.077035235542182</v>
      </c>
      <c r="AM20" s="36">
        <f t="shared" si="18"/>
        <v>106.86551628611032</v>
      </c>
      <c r="AN20" s="35">
        <f t="shared" si="19"/>
        <v>1.8930744110932147</v>
      </c>
      <c r="AO20" s="37">
        <f t="shared" si="20"/>
        <v>61.338837512991404</v>
      </c>
      <c r="AQ20" s="34">
        <v>0.4</v>
      </c>
      <c r="AR20" s="149">
        <f t="shared" ca="1" si="22"/>
        <v>0.15227522134648019</v>
      </c>
      <c r="AS20" s="143">
        <f t="shared" ca="1" si="21"/>
        <v>9.1391619237561006E-2</v>
      </c>
    </row>
    <row r="21" spans="2:45" ht="13.5" customHeight="1">
      <c r="B21" s="71" t="s">
        <v>42</v>
      </c>
      <c r="C21" s="137">
        <f>DEGREES(ASIN(SIN($N$20*($Z5-$Q$17+$N$17))))</f>
        <v>-9.8837427808296834</v>
      </c>
      <c r="D21" s="72" t="s">
        <v>61</v>
      </c>
      <c r="E21" s="73"/>
      <c r="G21" s="7"/>
      <c r="H21" s="7"/>
      <c r="I21" s="7"/>
      <c r="M21" s="11" t="s">
        <v>52</v>
      </c>
      <c r="N21" s="2" t="b">
        <v>0</v>
      </c>
      <c r="P21" s="11" t="s">
        <v>13</v>
      </c>
      <c r="Q21" s="6">
        <f>IF(SIGN(ASIN(SIN($Q$14-$Q$13)))*N$22*SIGN(ASIN(SIN(Q$15-Q$13)))&gt;0,Q$15-SIGN(ASIN(SIN($Q$14-$Q$13)))*N$22*PI(),Q$15)</f>
        <v>-1.5693595532624478</v>
      </c>
      <c r="S21" s="3">
        <v>-0.5</v>
      </c>
      <c r="T21" s="5">
        <f t="shared" si="0"/>
        <v>-1.0893940089640073</v>
      </c>
      <c r="U21" s="5">
        <f t="shared" si="1"/>
        <v>10.964062690458549</v>
      </c>
      <c r="V21" s="5">
        <f t="shared" si="2"/>
        <v>-1.8454685302543508</v>
      </c>
      <c r="W21" s="5">
        <f t="shared" si="3"/>
        <v>3.3648621305758879</v>
      </c>
      <c r="X21" s="5">
        <f t="shared" si="4"/>
        <v>1.0965762316020973</v>
      </c>
      <c r="Y21" s="5">
        <f t="shared" si="5"/>
        <v>-1.4300895748123685</v>
      </c>
      <c r="Z21" s="5">
        <f t="shared" si="6"/>
        <v>-1.4300895748123685</v>
      </c>
      <c r="AA21" s="5">
        <f t="shared" si="7"/>
        <v>-5.0194280051682938</v>
      </c>
      <c r="AB21" s="5">
        <f t="shared" si="8"/>
        <v>-0.28260380658669276</v>
      </c>
      <c r="AC21" s="5">
        <f t="shared" si="9"/>
        <v>1.2462052012496341</v>
      </c>
      <c r="AD21" s="5">
        <f t="shared" si="10"/>
        <v>1.5546918864917978</v>
      </c>
      <c r="AE21" s="4">
        <f t="shared" si="11"/>
        <v>131.70728114161344</v>
      </c>
      <c r="AF21" s="4">
        <f t="shared" si="12"/>
        <v>37.25727593942873</v>
      </c>
      <c r="AG21" s="4">
        <f t="shared" si="13"/>
        <v>73.522845181133448</v>
      </c>
      <c r="AH21" s="4"/>
      <c r="AI21" s="34" t="str">
        <f t="shared" si="14"/>
        <v>-</v>
      </c>
      <c r="AJ21" s="81">
        <f t="shared" si="15"/>
        <v>0.5</v>
      </c>
      <c r="AK21" s="35">
        <f t="shared" si="16"/>
        <v>5.0194280051682938</v>
      </c>
      <c r="AL21" s="35">
        <f t="shared" si="17"/>
        <v>16.192005391748911</v>
      </c>
      <c r="AM21" s="36">
        <f t="shared" si="18"/>
        <v>131.70728114161344</v>
      </c>
      <c r="AN21" s="35">
        <f t="shared" si="19"/>
        <v>2.3285797462142956</v>
      </c>
      <c r="AO21" s="37">
        <f t="shared" si="20"/>
        <v>73.522845181133448</v>
      </c>
      <c r="AQ21" s="34">
        <v>0.5</v>
      </c>
      <c r="AR21" s="149">
        <f t="shared" ca="1" si="22"/>
        <v>0.21717310478436502</v>
      </c>
      <c r="AS21" s="143">
        <f t="shared" ca="1" si="21"/>
        <v>0.12701251223394608</v>
      </c>
    </row>
    <row r="22" spans="2:45" ht="13.5" customHeight="1" thickBot="1">
      <c r="B22" s="74"/>
      <c r="C22" s="76"/>
      <c r="D22" s="76"/>
      <c r="E22" s="75"/>
      <c r="F22" s="7"/>
      <c r="G22" s="7"/>
      <c r="H22" s="7"/>
      <c r="I22" s="7"/>
      <c r="M22" s="11" t="s">
        <v>52</v>
      </c>
      <c r="N22" s="1">
        <f>IF(N$21,-1,1)</f>
        <v>1</v>
      </c>
      <c r="P22" s="11" t="s">
        <v>14</v>
      </c>
      <c r="Q22" s="6">
        <f>Q$21+N15</f>
        <v>-2.5292906418593288</v>
      </c>
      <c r="S22" s="3">
        <v>-0.6</v>
      </c>
      <c r="T22" s="5">
        <f t="shared" si="0"/>
        <v>-0.99340090010431903</v>
      </c>
      <c r="U22" s="5">
        <f t="shared" si="1"/>
        <v>11.136504657104695</v>
      </c>
      <c r="V22" s="5">
        <f t="shared" si="2"/>
        <v>-1.7445710451777741</v>
      </c>
      <c r="W22" s="5">
        <f t="shared" si="3"/>
        <v>3.8526016664824247</v>
      </c>
      <c r="X22" s="5">
        <f t="shared" si="4"/>
        <v>1.0666005300042989</v>
      </c>
      <c r="Y22" s="5">
        <f t="shared" si="5"/>
        <v>-1.3773814895832293</v>
      </c>
      <c r="Z22" s="5">
        <f t="shared" si="6"/>
        <v>-1.3773814895832293</v>
      </c>
      <c r="AA22" s="5">
        <f t="shared" si="7"/>
        <v>-5.9231467390451549</v>
      </c>
      <c r="AB22" s="5">
        <f t="shared" si="8"/>
        <v>-0.33531189181583115</v>
      </c>
      <c r="AC22" s="5">
        <f t="shared" si="9"/>
        <v>1.1568943278460047</v>
      </c>
      <c r="AD22" s="5">
        <f t="shared" si="10"/>
        <v>1.6007177362648772</v>
      </c>
      <c r="AE22" s="4">
        <f t="shared" si="11"/>
        <v>155.42040885917532</v>
      </c>
      <c r="AF22" s="4">
        <f t="shared" si="12"/>
        <v>43.979215639241161</v>
      </c>
      <c r="AG22" s="4">
        <f t="shared" si="13"/>
        <v>83.837183507627273</v>
      </c>
      <c r="AH22" s="4"/>
      <c r="AI22" s="34" t="str">
        <f t="shared" si="14"/>
        <v>-</v>
      </c>
      <c r="AJ22" s="81">
        <f t="shared" si="15"/>
        <v>0.6</v>
      </c>
      <c r="AK22" s="35">
        <f t="shared" si="16"/>
        <v>5.9231467390451549</v>
      </c>
      <c r="AL22" s="35">
        <f t="shared" si="17"/>
        <v>19.211956221594374</v>
      </c>
      <c r="AM22" s="36">
        <f t="shared" si="18"/>
        <v>155.42040885917532</v>
      </c>
      <c r="AN22" s="35">
        <f t="shared" si="19"/>
        <v>2.7487009774525726</v>
      </c>
      <c r="AO22" s="37">
        <f t="shared" si="20"/>
        <v>83.837183507627273</v>
      </c>
      <c r="AQ22" s="34">
        <v>0.6</v>
      </c>
      <c r="AR22" s="149">
        <f t="shared" ca="1" si="22"/>
        <v>0.27402218992901339</v>
      </c>
      <c r="AS22" s="143">
        <f t="shared" ca="1" si="21"/>
        <v>0.15481184713229923</v>
      </c>
    </row>
    <row r="23" spans="2:45" ht="13.5" customHeight="1">
      <c r="F23" s="7"/>
      <c r="G23" s="7"/>
      <c r="H23" s="7"/>
      <c r="I23" s="7"/>
      <c r="M23" s="11" t="s">
        <v>30</v>
      </c>
      <c r="N23" s="1">
        <f>$N$20*$C$17</f>
        <v>-18</v>
      </c>
      <c r="P23" s="11" t="s">
        <v>15</v>
      </c>
      <c r="Q23" s="6">
        <f>Q$21+N16</f>
        <v>-0.60942846466556655</v>
      </c>
      <c r="S23" s="3">
        <v>-0.7</v>
      </c>
      <c r="T23" s="5">
        <f t="shared" si="0"/>
        <v>-0.89740779124463099</v>
      </c>
      <c r="U23" s="5">
        <f t="shared" si="1"/>
        <v>11.298482139758663</v>
      </c>
      <c r="V23" s="5">
        <f t="shared" si="2"/>
        <v>-1.6276102420484735</v>
      </c>
      <c r="W23" s="5">
        <f t="shared" si="3"/>
        <v>4.3107431720190101</v>
      </c>
      <c r="X23" s="5">
        <f t="shared" si="4"/>
        <v>1.0404843874544067</v>
      </c>
      <c r="Y23" s="5">
        <f t="shared" si="5"/>
        <v>-1.3266271847547793</v>
      </c>
      <c r="Z23" s="5">
        <f t="shared" si="6"/>
        <v>-1.3266271847547793</v>
      </c>
      <c r="AA23" s="5">
        <f t="shared" si="7"/>
        <v>-6.7778473045675156</v>
      </c>
      <c r="AB23" s="5">
        <f t="shared" si="8"/>
        <v>-0.38606619664428116</v>
      </c>
      <c r="AC23" s="5">
        <f t="shared" si="9"/>
        <v>1.0683666423162337</v>
      </c>
      <c r="AD23" s="5">
        <f t="shared" si="10"/>
        <v>1.6440066177634116</v>
      </c>
      <c r="AE23" s="4">
        <f t="shared" si="11"/>
        <v>177.84732434819935</v>
      </c>
      <c r="AF23" s="4">
        <f t="shared" si="12"/>
        <v>50.437926519129796</v>
      </c>
      <c r="AG23" s="4">
        <f t="shared" si="13"/>
        <v>92.038641704839819</v>
      </c>
      <c r="AH23" s="4"/>
      <c r="AI23" s="34" t="str">
        <f t="shared" si="14"/>
        <v>-</v>
      </c>
      <c r="AJ23" s="81">
        <f t="shared" si="15"/>
        <v>0.7</v>
      </c>
      <c r="AK23" s="35">
        <f t="shared" si="16"/>
        <v>6.7778473045675156</v>
      </c>
      <c r="AL23" s="35">
        <f t="shared" si="17"/>
        <v>22.119963680385016</v>
      </c>
      <c r="AM23" s="36">
        <f t="shared" si="18"/>
        <v>177.84732434819935</v>
      </c>
      <c r="AN23" s="35">
        <f t="shared" si="19"/>
        <v>3.1523704074456123</v>
      </c>
      <c r="AO23" s="37">
        <f t="shared" si="20"/>
        <v>92.038641704839819</v>
      </c>
      <c r="AQ23" s="34">
        <v>0.7</v>
      </c>
      <c r="AR23" s="149">
        <f t="shared" ca="1" si="22"/>
        <v>0.30643372385670986</v>
      </c>
      <c r="AS23" s="143">
        <f t="shared" ca="1" si="21"/>
        <v>0.1657214766362797</v>
      </c>
    </row>
    <row r="24" spans="2:45" ht="13.5" customHeight="1" thickBot="1">
      <c r="B24" s="10" t="s">
        <v>80</v>
      </c>
      <c r="F24" s="7"/>
      <c r="P24" s="11" t="s">
        <v>28</v>
      </c>
      <c r="Q24" s="5">
        <f>SQRT(($AR$5-$AR$6)^2+($AS$5-$AS$6)^2)</f>
        <v>10.598266673073672</v>
      </c>
      <c r="S24" s="3">
        <v>-0.8</v>
      </c>
      <c r="T24" s="5">
        <f t="shared" si="0"/>
        <v>-0.80141468238494273</v>
      </c>
      <c r="U24" s="5">
        <f t="shared" si="1"/>
        <v>11.448503714022213</v>
      </c>
      <c r="V24" s="5">
        <f t="shared" si="2"/>
        <v>-1.4956630495392944</v>
      </c>
      <c r="W24" s="5">
        <f t="shared" si="3"/>
        <v>4.7350682619631606</v>
      </c>
      <c r="X24" s="5">
        <f t="shared" si="4"/>
        <v>1.0183123746385991</v>
      </c>
      <c r="Y24" s="5">
        <f t="shared" si="5"/>
        <v>-1.2781262500731345</v>
      </c>
      <c r="Z24" s="5">
        <f t="shared" si="6"/>
        <v>-1.2781262500731345</v>
      </c>
      <c r="AA24" s="5">
        <f t="shared" si="7"/>
        <v>-7.5783205127734616</v>
      </c>
      <c r="AB24" s="5">
        <f t="shared" si="8"/>
        <v>-0.43456713132592589</v>
      </c>
      <c r="AC24" s="5">
        <f t="shared" si="9"/>
        <v>0.98065958170619816</v>
      </c>
      <c r="AD24" s="5">
        <f t="shared" si="10"/>
        <v>1.6842215041954034</v>
      </c>
      <c r="AE24" s="4">
        <f t="shared" si="11"/>
        <v>198.85134109491926</v>
      </c>
      <c r="AF24" s="4">
        <f t="shared" si="12"/>
        <v>56.607397220059092</v>
      </c>
      <c r="AG24" s="4">
        <f t="shared" si="13"/>
        <v>97.927925119206051</v>
      </c>
      <c r="AH24" s="4"/>
      <c r="AI24" s="34" t="str">
        <f t="shared" si="14"/>
        <v>-</v>
      </c>
      <c r="AJ24" s="81">
        <f t="shared" si="15"/>
        <v>0.8</v>
      </c>
      <c r="AK24" s="35">
        <f t="shared" si="16"/>
        <v>7.5783205127734616</v>
      </c>
      <c r="AL24" s="35">
        <f t="shared" si="17"/>
        <v>24.898862540082941</v>
      </c>
      <c r="AM24" s="36">
        <f t="shared" si="18"/>
        <v>198.85134109491926</v>
      </c>
      <c r="AN24" s="35">
        <f t="shared" si="19"/>
        <v>3.5379623262536932</v>
      </c>
      <c r="AO24" s="37">
        <f t="shared" si="20"/>
        <v>97.927925119206051</v>
      </c>
      <c r="AQ24" s="34">
        <v>0.8</v>
      </c>
      <c r="AR24" s="149">
        <f t="shared" ca="1" si="22"/>
        <v>0.29232934974623603</v>
      </c>
      <c r="AS24" s="143">
        <f t="shared" ca="1" si="21"/>
        <v>0.14987701881255991</v>
      </c>
    </row>
    <row r="25" spans="2:45" ht="13.5" customHeight="1">
      <c r="B25" s="14" t="s">
        <v>72</v>
      </c>
      <c r="C25" s="48">
        <f>MAX(AG5:AG26)</f>
        <v>102.23656073203699</v>
      </c>
      <c r="D25" s="41" t="s">
        <v>63</v>
      </c>
      <c r="E25" s="15"/>
      <c r="G25" s="7"/>
      <c r="H25" s="7"/>
      <c r="I25" s="7"/>
      <c r="S25" s="3">
        <v>-0.9</v>
      </c>
      <c r="T25" s="5">
        <f t="shared" si="0"/>
        <v>-0.7054215735252547</v>
      </c>
      <c r="U25" s="5">
        <f t="shared" si="1"/>
        <v>11.585188040758236</v>
      </c>
      <c r="V25" s="5">
        <f t="shared" si="2"/>
        <v>-1.3499443850508768</v>
      </c>
      <c r="W25" s="5">
        <f t="shared" si="3"/>
        <v>5.1216699192310013</v>
      </c>
      <c r="X25" s="5">
        <f t="shared" si="4"/>
        <v>1.0001808343443683</v>
      </c>
      <c r="Y25" s="5">
        <f t="shared" si="5"/>
        <v>-1.2321812078520933</v>
      </c>
      <c r="Z25" s="5">
        <f t="shared" si="6"/>
        <v>-1.2321812078520933</v>
      </c>
      <c r="AA25" s="5">
        <f t="shared" si="7"/>
        <v>-8.3202013852200949</v>
      </c>
      <c r="AB25" s="5">
        <f t="shared" si="8"/>
        <v>-0.48051217354696729</v>
      </c>
      <c r="AC25" s="5">
        <f t="shared" si="9"/>
        <v>0.89381235657143421</v>
      </c>
      <c r="AD25" s="5">
        <f t="shared" si="10"/>
        <v>1.7210206626915199</v>
      </c>
      <c r="AE25" s="4">
        <f t="shared" si="11"/>
        <v>218.31792424748264</v>
      </c>
      <c r="AF25" s="4">
        <f t="shared" si="12"/>
        <v>62.453009097411417</v>
      </c>
      <c r="AG25" s="4">
        <f t="shared" si="13"/>
        <v>101.35693226596769</v>
      </c>
      <c r="AH25" s="4"/>
      <c r="AI25" s="34" t="str">
        <f t="shared" si="14"/>
        <v>-</v>
      </c>
      <c r="AJ25" s="81">
        <f t="shared" si="15"/>
        <v>0.9</v>
      </c>
      <c r="AK25" s="35">
        <f t="shared" si="16"/>
        <v>8.3202013852200949</v>
      </c>
      <c r="AL25" s="35">
        <f t="shared" si="17"/>
        <v>27.531319548898985</v>
      </c>
      <c r="AM25" s="36">
        <f t="shared" si="18"/>
        <v>218.31792424748264</v>
      </c>
      <c r="AN25" s="35">
        <f t="shared" si="19"/>
        <v>3.9033130685882136</v>
      </c>
      <c r="AO25" s="37">
        <f t="shared" si="20"/>
        <v>101.35693226596769</v>
      </c>
      <c r="AQ25" s="34">
        <v>0.9</v>
      </c>
      <c r="AR25" s="149">
        <f t="shared" ca="1" si="22"/>
        <v>0.20263053629614802</v>
      </c>
      <c r="AS25" s="143">
        <f t="shared" ca="1" si="21"/>
        <v>9.7461758332270595E-2</v>
      </c>
    </row>
    <row r="26" spans="2:45" ht="13.5" customHeight="1" thickBot="1">
      <c r="B26" s="25" t="s">
        <v>73</v>
      </c>
      <c r="C26" s="77">
        <f>MAX(AE5:AE26)</f>
        <v>236.15550000000036</v>
      </c>
      <c r="D26" s="26" t="s">
        <v>63</v>
      </c>
      <c r="E26" s="27"/>
      <c r="F26" s="7"/>
      <c r="G26" s="7"/>
      <c r="H26" s="7"/>
      <c r="I26" s="7"/>
      <c r="S26" s="3">
        <v>-1</v>
      </c>
      <c r="T26" s="5">
        <f t="shared" si="0"/>
        <v>-0.60942846466556655</v>
      </c>
      <c r="U26" s="5">
        <f t="shared" si="1"/>
        <v>11.707276584913519</v>
      </c>
      <c r="V26" s="5">
        <f t="shared" si="2"/>
        <v>-1.1917959682342292</v>
      </c>
      <c r="W26" s="5">
        <f t="shared" si="3"/>
        <v>5.466988469140575</v>
      </c>
      <c r="X26" s="5">
        <f t="shared" si="4"/>
        <v>0.98619439285483301</v>
      </c>
      <c r="Y26" s="5">
        <f t="shared" si="5"/>
        <v>-1.1890946058007612</v>
      </c>
      <c r="Z26" s="5">
        <f t="shared" si="6"/>
        <v>-1.1890946058007612</v>
      </c>
      <c r="AA26" s="5">
        <f t="shared" si="7"/>
        <v>-9.0000000000000071</v>
      </c>
      <c r="AB26" s="5">
        <f t="shared" si="8"/>
        <v>-0.52359877559829948</v>
      </c>
      <c r="AC26" s="5">
        <f t="shared" si="9"/>
        <v>0.80786352580026566</v>
      </c>
      <c r="AD26" s="5">
        <f t="shared" si="10"/>
        <v>1.7540629866543318</v>
      </c>
      <c r="AE26" s="4">
        <f t="shared" si="11"/>
        <v>236.15550000000025</v>
      </c>
      <c r="AF26" s="4">
        <f t="shared" si="12"/>
        <v>67.93248569215605</v>
      </c>
      <c r="AG26" s="4">
        <f t="shared" si="13"/>
        <v>102.23656073203699</v>
      </c>
      <c r="AI26" s="49" t="str">
        <f t="shared" si="14"/>
        <v>-</v>
      </c>
      <c r="AJ26" s="82">
        <f t="shared" si="15"/>
        <v>1</v>
      </c>
      <c r="AK26" s="28">
        <f t="shared" si="16"/>
        <v>9.0000000000000071</v>
      </c>
      <c r="AL26" s="28">
        <f t="shared" si="17"/>
        <v>30.000000000000036</v>
      </c>
      <c r="AM26" s="50">
        <f t="shared" si="18"/>
        <v>236.15550000000025</v>
      </c>
      <c r="AN26" s="28">
        <f t="shared" si="19"/>
        <v>4.2457803557597531</v>
      </c>
      <c r="AO26" s="51">
        <f t="shared" si="20"/>
        <v>102.23656073203699</v>
      </c>
      <c r="AQ26" s="49">
        <v>1</v>
      </c>
      <c r="AR26" s="150">
        <f t="shared" ca="1" si="22"/>
        <v>1.7763568394002505E-14</v>
      </c>
      <c r="AS26" s="144">
        <f t="shared" ca="1" si="21"/>
        <v>7.922973385546289E-15</v>
      </c>
    </row>
    <row r="27" spans="2:45" ht="13.5" customHeight="1" thickBot="1">
      <c r="B27" s="38" t="s">
        <v>74</v>
      </c>
      <c r="C27" s="78">
        <f>MAX(AF5:AF26)/16</f>
        <v>6.0902845691386247</v>
      </c>
      <c r="D27" s="39" t="s">
        <v>64</v>
      </c>
      <c r="E27" s="40"/>
      <c r="F27" s="7"/>
      <c r="G27" s="7"/>
      <c r="H27" s="7"/>
      <c r="I27" s="7"/>
      <c r="T27" s="1"/>
      <c r="U27" s="1"/>
    </row>
    <row r="28" spans="2:45" ht="13.5" customHeight="1" thickBot="1">
      <c r="F28" s="7"/>
      <c r="T28" s="1"/>
      <c r="U28" s="1"/>
      <c r="AP28" s="10" t="s">
        <v>207</v>
      </c>
      <c r="AQ28" s="8"/>
    </row>
    <row r="29" spans="2:45" ht="13.5" customHeight="1">
      <c r="B29" s="14" t="s">
        <v>68</v>
      </c>
      <c r="C29" s="138">
        <f>DEGREES(ACOS(($Q$24^2+$Q$20^2-($Q$4+$Q$16*COS($Q17)-$Q$6)^2-($Q$5+$Q$16*SIN($Q17)-$Q$7)^2)/(2*$Q$20*$Q$24)))</f>
        <v>97.606078258694325</v>
      </c>
      <c r="D29" s="41" t="s">
        <v>61</v>
      </c>
      <c r="E29" s="15"/>
      <c r="T29" s="1"/>
      <c r="U29" s="1"/>
      <c r="AI29" s="9"/>
      <c r="AP29" s="10" t="s">
        <v>208</v>
      </c>
      <c r="AQ29" s="8"/>
    </row>
    <row r="30" spans="2:45" ht="13.5" customHeight="1">
      <c r="B30" s="25" t="s">
        <v>171</v>
      </c>
      <c r="C30" s="79">
        <f>ABS(DEGREES(ASIN(SIN($Q$21))))</f>
        <v>89.917678940469628</v>
      </c>
      <c r="D30" s="26" t="s">
        <v>61</v>
      </c>
      <c r="E30" s="27"/>
      <c r="T30" s="1"/>
      <c r="U30" s="1"/>
      <c r="AP30" s="8" t="s">
        <v>176</v>
      </c>
    </row>
    <row r="31" spans="2:45" ht="13.5" customHeight="1">
      <c r="B31" s="25" t="s">
        <v>23</v>
      </c>
      <c r="C31" s="79">
        <f>$Q$20</f>
        <v>2.0821073380816197</v>
      </c>
      <c r="D31" s="26" t="s">
        <v>60</v>
      </c>
      <c r="E31" s="27"/>
      <c r="T31" s="1"/>
      <c r="U31" s="1"/>
      <c r="AP31" s="8" t="s">
        <v>175</v>
      </c>
    </row>
    <row r="32" spans="2:45" ht="13.5" customHeight="1" thickBot="1">
      <c r="B32" s="38" t="s">
        <v>28</v>
      </c>
      <c r="C32" s="78">
        <f>$Q$24</f>
        <v>10.598266673073672</v>
      </c>
      <c r="D32" s="39" t="s">
        <v>60</v>
      </c>
      <c r="E32" s="40"/>
      <c r="T32" s="1"/>
      <c r="U32" s="1"/>
      <c r="AP32" s="8" t="s">
        <v>204</v>
      </c>
    </row>
    <row r="33" spans="7:21" ht="13.5" customHeight="1">
      <c r="G33" s="10" t="s">
        <v>211</v>
      </c>
      <c r="T33" s="1"/>
      <c r="U33" s="1"/>
    </row>
    <row r="34" spans="7:21" ht="13.5" customHeight="1">
      <c r="T34" s="1"/>
      <c r="U34" s="1"/>
    </row>
    <row r="35" spans="7:21" ht="13.5" customHeight="1">
      <c r="T35" s="1"/>
      <c r="U35" s="1"/>
    </row>
    <row r="36" spans="7:21" ht="13.5" customHeight="1">
      <c r="T36" s="1"/>
      <c r="U36" s="1"/>
    </row>
  </sheetData>
  <sheetProtection password="C099" sheet="1" objects="1" scenarios="1"/>
  <pageMargins left="0.75" right="0.75" top="1" bottom="1" header="0.5" footer="0.5"/>
  <pageSetup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B2:J15"/>
  <sheetViews>
    <sheetView workbookViewId="0">
      <selection activeCell="C9" sqref="C9"/>
    </sheetView>
  </sheetViews>
  <sheetFormatPr defaultRowHeight="12.75"/>
  <cols>
    <col min="1" max="1" width="2.85546875" style="173" customWidth="1"/>
    <col min="2" max="2" width="12.28515625" style="173" customWidth="1"/>
    <col min="3" max="3" width="9" style="173" bestFit="1" customWidth="1"/>
    <col min="4" max="4" width="6" style="173" bestFit="1" customWidth="1"/>
    <col min="5" max="5" width="19" style="173" bestFit="1" customWidth="1"/>
    <col min="6" max="6" width="20.7109375" style="173" bestFit="1" customWidth="1"/>
    <col min="7" max="7" width="3.140625" style="173" customWidth="1"/>
    <col min="8" max="8" width="7.140625" style="173" customWidth="1"/>
    <col min="9" max="9" width="4.5703125" style="173" bestFit="1" customWidth="1"/>
    <col min="10" max="10" width="2.28515625" style="173" bestFit="1" customWidth="1"/>
    <col min="11" max="16384" width="9.140625" style="173"/>
  </cols>
  <sheetData>
    <row r="2" spans="2:10">
      <c r="B2" s="172" t="s">
        <v>197</v>
      </c>
    </row>
    <row r="4" spans="2:10">
      <c r="B4" s="178" t="s">
        <v>213</v>
      </c>
      <c r="C4" s="178" t="s">
        <v>214</v>
      </c>
      <c r="D4" s="178" t="s">
        <v>215</v>
      </c>
      <c r="E4" s="178" t="s">
        <v>216</v>
      </c>
      <c r="F4" s="178" t="s">
        <v>217</v>
      </c>
      <c r="H4" s="174" t="s">
        <v>190</v>
      </c>
      <c r="I4" s="177">
        <v>65</v>
      </c>
      <c r="J4" s="173" t="s">
        <v>191</v>
      </c>
    </row>
    <row r="5" spans="2:10">
      <c r="B5" s="179">
        <v>15</v>
      </c>
      <c r="C5" s="180">
        <v>10</v>
      </c>
      <c r="D5" s="180">
        <v>9000</v>
      </c>
      <c r="E5" s="181">
        <f>C5*D5*60/(12*5280)</f>
        <v>85.227272727272734</v>
      </c>
      <c r="F5" s="182">
        <f>B5*PI()*D5*2.54/(100*60)*SQRT(0.0286/($I$6*8.314*$I$5))</f>
        <v>0.52128260434282958</v>
      </c>
      <c r="H5" s="174" t="s">
        <v>190</v>
      </c>
      <c r="I5" s="175">
        <f>IF(J4="F",(I4-32)*5/9+273.15,I4+273.15)</f>
        <v>291.48333333333329</v>
      </c>
      <c r="J5" s="173" t="s">
        <v>192</v>
      </c>
    </row>
    <row r="6" spans="2:10">
      <c r="B6" s="179">
        <v>16</v>
      </c>
      <c r="C6" s="180">
        <v>8</v>
      </c>
      <c r="D6" s="180">
        <v>9000</v>
      </c>
      <c r="E6" s="181">
        <f>C6*D6*60/(12*5280)</f>
        <v>68.181818181818187</v>
      </c>
      <c r="F6" s="182">
        <f>B6*PI()*D6*2.54/(100*60)*SQRT(0.0286/($I$6*8.314*$I$5))</f>
        <v>0.55603477796568501</v>
      </c>
      <c r="H6" s="174" t="s">
        <v>193</v>
      </c>
      <c r="I6" s="176">
        <v>1.4</v>
      </c>
    </row>
    <row r="7" spans="2:10">
      <c r="B7" s="179">
        <v>18</v>
      </c>
      <c r="C7" s="180">
        <v>6</v>
      </c>
      <c r="D7" s="180">
        <v>9000</v>
      </c>
      <c r="E7" s="181">
        <f>C7*D7*60/(12*5280)</f>
        <v>51.136363636363633</v>
      </c>
      <c r="F7" s="182">
        <f>B7*PI()*D7*2.54/(100*60)*SQRT(0.0286/($I$6*8.314*$I$5))</f>
        <v>0.62553912521139554</v>
      </c>
    </row>
    <row r="8" spans="2:10">
      <c r="B8" s="179">
        <v>10</v>
      </c>
      <c r="C8" s="180">
        <v>6</v>
      </c>
      <c r="D8" s="180">
        <v>15000</v>
      </c>
      <c r="E8" s="181">
        <f>C8*D8*60/(12*5280)</f>
        <v>85.227272727272734</v>
      </c>
      <c r="F8" s="182">
        <f>B8*PI()*D8*2.54/(100*60)*SQRT(0.0286/($I$6*8.314*$I$5))</f>
        <v>0.57920289371425515</v>
      </c>
      <c r="H8" s="173" t="s">
        <v>206</v>
      </c>
    </row>
    <row r="9" spans="2:10">
      <c r="B9" s="179">
        <v>11</v>
      </c>
      <c r="C9" s="180">
        <v>7</v>
      </c>
      <c r="D9" s="180">
        <v>12300</v>
      </c>
      <c r="E9" s="181">
        <f>C9*D9*60/(12*5280)</f>
        <v>81.534090909090907</v>
      </c>
      <c r="F9" s="182">
        <f>B9*PI()*D9*2.54/(100*60)*SQRT(0.0286/($I$6*8.314*$I$5))</f>
        <v>0.52244101013025812</v>
      </c>
      <c r="H9" s="173" t="s">
        <v>218</v>
      </c>
    </row>
    <row r="11" spans="2:10">
      <c r="B11" s="173" t="s">
        <v>177</v>
      </c>
      <c r="H11" s="173" t="s">
        <v>196</v>
      </c>
    </row>
    <row r="12" spans="2:10">
      <c r="B12" s="173" t="s">
        <v>205</v>
      </c>
      <c r="H12" s="173" t="s">
        <v>194</v>
      </c>
    </row>
    <row r="14" spans="2:10">
      <c r="H14" s="173" t="s">
        <v>195</v>
      </c>
    </row>
    <row r="15" spans="2:10">
      <c r="H15" s="173" t="s">
        <v>219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5" sqref="D5"/>
    </sheetView>
  </sheetViews>
  <sheetFormatPr defaultRowHeight="12.75"/>
  <sheetData>
    <row r="1" spans="1:4">
      <c r="A1" s="184" t="s">
        <v>220</v>
      </c>
    </row>
    <row r="2" spans="1:4">
      <c r="A2" s="184"/>
      <c r="B2" s="184" t="s">
        <v>221</v>
      </c>
      <c r="C2" s="184" t="s">
        <v>222</v>
      </c>
      <c r="D2" s="184" t="s">
        <v>93</v>
      </c>
    </row>
    <row r="3" spans="1:4">
      <c r="A3" s="184" t="s">
        <v>223</v>
      </c>
      <c r="B3" s="185">
        <v>1.75</v>
      </c>
      <c r="C3" s="185">
        <v>2.5</v>
      </c>
      <c r="D3" s="185">
        <v>3</v>
      </c>
    </row>
    <row r="4" spans="1:4">
      <c r="A4" s="184" t="s">
        <v>224</v>
      </c>
      <c r="B4" s="185">
        <v>33</v>
      </c>
      <c r="C4" s="185">
        <v>22</v>
      </c>
      <c r="D4" s="185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Simple Setup</vt:lpstr>
      <vt:lpstr>Offset &amp; Differential</vt:lpstr>
      <vt:lpstr>ServoPlus</vt:lpstr>
      <vt:lpstr>PropStuff</vt:lpstr>
      <vt:lpstr>RCCD_All_Star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Tenney</dc:creator>
  <cp:lastModifiedBy>Wanda Hunt</cp:lastModifiedBy>
  <cp:lastPrinted>1998-10-19T02:01:22Z</cp:lastPrinted>
  <dcterms:created xsi:type="dcterms:W3CDTF">1998-03-24T21:02:46Z</dcterms:created>
  <dcterms:modified xsi:type="dcterms:W3CDTF">2015-09-19T11:00:44Z</dcterms:modified>
</cp:coreProperties>
</file>